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2\AtelierMOK\DWG\_Městské úřady\3.Kralupy nad V\2.OK Lidové náměstí x Přemyslova\III-PDPS\SO 301 - Odvodnění\Nejaktuálnější\"/>
    </mc:Choice>
  </mc:AlternateContent>
  <xr:revisionPtr revIDLastSave="0" documentId="13_ncr:1_{F4F47831-1CC7-4EC9-AE6A-E36E9F07894F}" xr6:coauthVersionLast="47" xr6:coauthVersionMax="47" xr10:uidLastSave="{00000000-0000-0000-0000-000000000000}"/>
  <bookViews>
    <workbookView xWindow="2730" yWindow="1500" windowWidth="21630" windowHeight="16500" xr2:uid="{00000000-000D-0000-FFFF-FFFF00000000}"/>
  </bookViews>
  <sheets>
    <sheet name="jednotlivé UV" sheetId="11" r:id="rId1"/>
    <sheet name="nátoky dle UV" sheetId="15" r:id="rId2"/>
    <sheet name="vsak RR3" sheetId="12" r:id="rId3"/>
    <sheet name="vsak RR1" sheetId="16" r:id="rId4"/>
    <sheet name="vsak RR2" sheetId="17" r:id="rId5"/>
  </sheets>
  <definedNames>
    <definedName name="_xlnm.Print_Area" localSheetId="0">'jednotlivé UV'!$A$1:$M$98</definedName>
    <definedName name="_xlnm.Print_Area" localSheetId="1">'nátoky dle UV'!$A$1:$M$24</definedName>
    <definedName name="_xlnm.Print_Area" localSheetId="3">'vsak RR1'!$A$1:$E$32</definedName>
    <definedName name="_xlnm.Print_Area" localSheetId="4">'vsak RR2'!$A$35:$E$67</definedName>
    <definedName name="_xlnm.Print_Area" localSheetId="2">'vsak RR3'!$A$1:$E$32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7" l="1"/>
  <c r="E2" i="17" l="1"/>
  <c r="E2" i="16"/>
  <c r="E2" i="12"/>
  <c r="E25" i="12" l="1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7" i="12"/>
  <c r="F4" i="12"/>
  <c r="E27" i="12" l="1"/>
  <c r="E40" i="17"/>
  <c r="E39" i="17"/>
  <c r="E36" i="17"/>
  <c r="D36" i="17"/>
  <c r="E61" i="17"/>
  <c r="C10" i="15" l="1"/>
  <c r="C24" i="15" l="1"/>
  <c r="E60" i="17" l="1"/>
  <c r="D19" i="15"/>
  <c r="D20" i="15"/>
  <c r="F20" i="15" s="1"/>
  <c r="I20" i="15" s="1"/>
  <c r="D21" i="15"/>
  <c r="F21" i="15" s="1"/>
  <c r="D22" i="15"/>
  <c r="F22" i="15" s="1"/>
  <c r="M22" i="15" s="1"/>
  <c r="D23" i="15"/>
  <c r="F23" i="15" s="1"/>
  <c r="I23" i="15" s="1"/>
  <c r="F19" i="15" l="1"/>
  <c r="M19" i="15" s="1"/>
  <c r="M20" i="15"/>
  <c r="I22" i="15"/>
  <c r="M23" i="15"/>
  <c r="I21" i="15"/>
  <c r="M21" i="15"/>
  <c r="I19" i="15" l="1"/>
  <c r="E4" i="16"/>
  <c r="D5" i="15" l="1"/>
  <c r="F5" i="15" l="1"/>
  <c r="M5" i="15"/>
  <c r="E25" i="17"/>
  <c r="E25" i="16"/>
  <c r="I5" i="15" l="1"/>
  <c r="C17" i="15"/>
  <c r="D16" i="15"/>
  <c r="D15" i="15"/>
  <c r="F15" i="15" s="1"/>
  <c r="D14" i="15"/>
  <c r="F14" i="15" s="1"/>
  <c r="D13" i="15"/>
  <c r="D12" i="15"/>
  <c r="F12" i="15" s="1"/>
  <c r="D9" i="15"/>
  <c r="F9" i="15" s="1"/>
  <c r="D8" i="15"/>
  <c r="F8" i="15" s="1"/>
  <c r="D7" i="15"/>
  <c r="F7" i="15" s="1"/>
  <c r="M7" i="15" s="1"/>
  <c r="D6" i="15"/>
  <c r="D24" i="15" l="1"/>
  <c r="D10" i="15"/>
  <c r="F6" i="15"/>
  <c r="D17" i="15"/>
  <c r="M12" i="15"/>
  <c r="I12" i="15"/>
  <c r="M9" i="15"/>
  <c r="I9" i="15"/>
  <c r="M14" i="15"/>
  <c r="I14" i="15"/>
  <c r="M15" i="15"/>
  <c r="I15" i="15"/>
  <c r="I8" i="15"/>
  <c r="M8" i="15"/>
  <c r="F16" i="15"/>
  <c r="I7" i="15"/>
  <c r="F13" i="15"/>
  <c r="P9" i="11"/>
  <c r="P8" i="11"/>
  <c r="P7" i="11"/>
  <c r="P6" i="11"/>
  <c r="P5" i="11"/>
  <c r="P4" i="11"/>
  <c r="C98" i="11"/>
  <c r="D97" i="11"/>
  <c r="F97" i="11" s="1"/>
  <c r="F98" i="11" s="1"/>
  <c r="C95" i="11"/>
  <c r="D94" i="11"/>
  <c r="F94" i="11" s="1"/>
  <c r="D93" i="11"/>
  <c r="F93" i="11" s="1"/>
  <c r="D92" i="11"/>
  <c r="F92" i="11" s="1"/>
  <c r="M92" i="11" s="1"/>
  <c r="D91" i="11"/>
  <c r="F91" i="11" s="1"/>
  <c r="C89" i="11"/>
  <c r="D88" i="11"/>
  <c r="F88" i="11" s="1"/>
  <c r="D87" i="11"/>
  <c r="F87" i="11" s="1"/>
  <c r="D86" i="11"/>
  <c r="F86" i="11" s="1"/>
  <c r="D85" i="11"/>
  <c r="F85" i="11" s="1"/>
  <c r="C82" i="11"/>
  <c r="D81" i="11"/>
  <c r="F81" i="11" s="1"/>
  <c r="D80" i="11"/>
  <c r="F80" i="11" s="1"/>
  <c r="D79" i="11"/>
  <c r="C77" i="11"/>
  <c r="D76" i="11"/>
  <c r="F76" i="11" s="1"/>
  <c r="D75" i="11"/>
  <c r="F75" i="11" s="1"/>
  <c r="D74" i="11"/>
  <c r="F74" i="11" s="1"/>
  <c r="D73" i="11"/>
  <c r="F73" i="11" s="1"/>
  <c r="C71" i="11"/>
  <c r="D70" i="11"/>
  <c r="F70" i="11" s="1"/>
  <c r="C68" i="11"/>
  <c r="D67" i="11"/>
  <c r="F67" i="11" s="1"/>
  <c r="D66" i="11"/>
  <c r="F66" i="11" s="1"/>
  <c r="D65" i="11"/>
  <c r="F65" i="11" s="1"/>
  <c r="D64" i="11"/>
  <c r="D63" i="11"/>
  <c r="F63" i="11" s="1"/>
  <c r="F24" i="15" l="1"/>
  <c r="F10" i="15"/>
  <c r="E3" i="17" s="1"/>
  <c r="E37" i="17" s="1"/>
  <c r="D82" i="11"/>
  <c r="D98" i="11"/>
  <c r="I6" i="15"/>
  <c r="M6" i="15"/>
  <c r="F17" i="15"/>
  <c r="E3" i="16" s="1"/>
  <c r="M16" i="15"/>
  <c r="I16" i="15"/>
  <c r="M13" i="15"/>
  <c r="I13" i="15"/>
  <c r="M97" i="11"/>
  <c r="M98" i="11" s="1"/>
  <c r="I97" i="11"/>
  <c r="I98" i="11" s="1"/>
  <c r="D95" i="11"/>
  <c r="M94" i="11"/>
  <c r="I94" i="11"/>
  <c r="M93" i="11"/>
  <c r="I93" i="11"/>
  <c r="F95" i="11"/>
  <c r="I91" i="11"/>
  <c r="M91" i="11"/>
  <c r="I92" i="11"/>
  <c r="D89" i="11"/>
  <c r="M86" i="11"/>
  <c r="I86" i="11"/>
  <c r="M87" i="11"/>
  <c r="I87" i="11"/>
  <c r="M85" i="11"/>
  <c r="I85" i="11"/>
  <c r="F89" i="11"/>
  <c r="M88" i="11"/>
  <c r="I88" i="11"/>
  <c r="M80" i="11"/>
  <c r="I80" i="11"/>
  <c r="M81" i="11"/>
  <c r="I81" i="11"/>
  <c r="F79" i="11"/>
  <c r="D77" i="11"/>
  <c r="M75" i="11"/>
  <c r="I75" i="11"/>
  <c r="M76" i="11"/>
  <c r="I76" i="11"/>
  <c r="M73" i="11"/>
  <c r="I73" i="11"/>
  <c r="F77" i="11"/>
  <c r="M74" i="11"/>
  <c r="I74" i="11"/>
  <c r="F71" i="11"/>
  <c r="I70" i="11"/>
  <c r="M70" i="11"/>
  <c r="M71" i="11" s="1"/>
  <c r="D71" i="11"/>
  <c r="D68" i="11"/>
  <c r="M66" i="11"/>
  <c r="I66" i="11"/>
  <c r="M63" i="11"/>
  <c r="I63" i="11"/>
  <c r="I65" i="11"/>
  <c r="M65" i="11"/>
  <c r="M67" i="11"/>
  <c r="I67" i="11"/>
  <c r="F64" i="11"/>
  <c r="F68" i="11" s="1"/>
  <c r="D58" i="11"/>
  <c r="F58" i="11" s="1"/>
  <c r="C61" i="11"/>
  <c r="D60" i="11"/>
  <c r="F60" i="11" s="1"/>
  <c r="D59" i="11"/>
  <c r="F59" i="11" s="1"/>
  <c r="D57" i="11"/>
  <c r="F57" i="11" s="1"/>
  <c r="D56" i="11"/>
  <c r="C54" i="11"/>
  <c r="D53" i="11"/>
  <c r="F53" i="11" s="1"/>
  <c r="D52" i="11"/>
  <c r="F52" i="11" s="1"/>
  <c r="D51" i="11"/>
  <c r="F51" i="11" s="1"/>
  <c r="D47" i="11"/>
  <c r="F47" i="11" s="1"/>
  <c r="C49" i="11"/>
  <c r="D48" i="11"/>
  <c r="F48" i="11" s="1"/>
  <c r="C45" i="11"/>
  <c r="D44" i="11"/>
  <c r="F44" i="11" s="1"/>
  <c r="D43" i="11"/>
  <c r="F43" i="11" s="1"/>
  <c r="D42" i="11"/>
  <c r="F42" i="11" s="1"/>
  <c r="M42" i="11" s="1"/>
  <c r="D41" i="11"/>
  <c r="F41" i="11" s="1"/>
  <c r="C38" i="11"/>
  <c r="D37" i="11"/>
  <c r="F37" i="11" s="1"/>
  <c r="D36" i="11"/>
  <c r="F36" i="11" s="1"/>
  <c r="D35" i="11"/>
  <c r="F35" i="11" s="1"/>
  <c r="I35" i="11" s="1"/>
  <c r="C33" i="11"/>
  <c r="D32" i="11"/>
  <c r="F32" i="11" s="1"/>
  <c r="D31" i="11"/>
  <c r="F31" i="11" s="1"/>
  <c r="D30" i="11"/>
  <c r="F30" i="11" s="1"/>
  <c r="D29" i="11"/>
  <c r="C27" i="11"/>
  <c r="D26" i="11"/>
  <c r="F26" i="11" s="1"/>
  <c r="D25" i="11"/>
  <c r="C23" i="11"/>
  <c r="D22" i="11"/>
  <c r="F22" i="11" s="1"/>
  <c r="D21" i="11"/>
  <c r="F21" i="11" s="1"/>
  <c r="D20" i="11"/>
  <c r="F20" i="11" s="1"/>
  <c r="D15" i="11"/>
  <c r="F15" i="11" s="1"/>
  <c r="C18" i="11"/>
  <c r="D17" i="11"/>
  <c r="F17" i="11" s="1"/>
  <c r="M17" i="11" s="1"/>
  <c r="D16" i="11"/>
  <c r="F16" i="11" s="1"/>
  <c r="I16" i="11" s="1"/>
  <c r="D14" i="11"/>
  <c r="F14" i="11" s="1"/>
  <c r="C12" i="11"/>
  <c r="C8" i="11"/>
  <c r="D10" i="11"/>
  <c r="F10" i="11" s="1"/>
  <c r="D11" i="11"/>
  <c r="F11" i="11" s="1"/>
  <c r="D6" i="11"/>
  <c r="F6" i="11" s="1"/>
  <c r="D7" i="11"/>
  <c r="F7" i="11" s="1"/>
  <c r="M24" i="15" l="1"/>
  <c r="M10" i="15"/>
  <c r="I24" i="15"/>
  <c r="I10" i="15"/>
  <c r="E48" i="17"/>
  <c r="E52" i="17"/>
  <c r="E50" i="17"/>
  <c r="E44" i="17"/>
  <c r="E58" i="17"/>
  <c r="E57" i="17"/>
  <c r="E53" i="17"/>
  <c r="E45" i="17"/>
  <c r="E42" i="17"/>
  <c r="E56" i="17"/>
  <c r="E49" i="17"/>
  <c r="E54" i="17"/>
  <c r="E51" i="17"/>
  <c r="E55" i="17"/>
  <c r="E47" i="17"/>
  <c r="E46" i="17"/>
  <c r="E43" i="17"/>
  <c r="I17" i="15"/>
  <c r="E14" i="16"/>
  <c r="E10" i="16"/>
  <c r="E22" i="16"/>
  <c r="E12" i="16"/>
  <c r="E23" i="16"/>
  <c r="E21" i="16"/>
  <c r="E17" i="16"/>
  <c r="E16" i="16"/>
  <c r="E31" i="16" s="1"/>
  <c r="E11" i="16"/>
  <c r="E7" i="16"/>
  <c r="E20" i="16"/>
  <c r="E18" i="16"/>
  <c r="E19" i="16"/>
  <c r="E9" i="16"/>
  <c r="E15" i="16"/>
  <c r="E13" i="16"/>
  <c r="E8" i="16"/>
  <c r="M17" i="15"/>
  <c r="M95" i="11"/>
  <c r="I95" i="11"/>
  <c r="D27" i="11"/>
  <c r="F45" i="11"/>
  <c r="M89" i="11"/>
  <c r="I89" i="11"/>
  <c r="D33" i="11"/>
  <c r="F23" i="11"/>
  <c r="F82" i="11"/>
  <c r="M79" i="11"/>
  <c r="M82" i="11" s="1"/>
  <c r="I79" i="11"/>
  <c r="I82" i="11" s="1"/>
  <c r="F38" i="11"/>
  <c r="F54" i="11"/>
  <c r="D12" i="11"/>
  <c r="I77" i="11"/>
  <c r="M77" i="11"/>
  <c r="D38" i="11"/>
  <c r="F12" i="11"/>
  <c r="D45" i="11"/>
  <c r="I71" i="11"/>
  <c r="I64" i="11"/>
  <c r="I68" i="11" s="1"/>
  <c r="M64" i="11"/>
  <c r="M68" i="11" s="1"/>
  <c r="M58" i="11"/>
  <c r="I58" i="11"/>
  <c r="D61" i="11"/>
  <c r="M57" i="11"/>
  <c r="I57" i="11"/>
  <c r="M59" i="11"/>
  <c r="I59" i="11"/>
  <c r="M60" i="11"/>
  <c r="I60" i="11"/>
  <c r="F56" i="11"/>
  <c r="D54" i="11"/>
  <c r="M52" i="11"/>
  <c r="I52" i="11"/>
  <c r="M53" i="11"/>
  <c r="I53" i="11"/>
  <c r="I51" i="11"/>
  <c r="M51" i="11"/>
  <c r="D49" i="11"/>
  <c r="M47" i="11"/>
  <c r="I47" i="11"/>
  <c r="F49" i="11"/>
  <c r="M48" i="11"/>
  <c r="I48" i="11"/>
  <c r="M41" i="11"/>
  <c r="I41" i="11"/>
  <c r="M43" i="11"/>
  <c r="I43" i="11"/>
  <c r="M44" i="11"/>
  <c r="I44" i="11"/>
  <c r="I42" i="11"/>
  <c r="M36" i="11"/>
  <c r="I36" i="11"/>
  <c r="M37" i="11"/>
  <c r="I37" i="11"/>
  <c r="M35" i="11"/>
  <c r="I30" i="11"/>
  <c r="M30" i="11"/>
  <c r="M31" i="11"/>
  <c r="I31" i="11"/>
  <c r="M32" i="11"/>
  <c r="I32" i="11"/>
  <c r="F29" i="11"/>
  <c r="D23" i="11"/>
  <c r="M26" i="11"/>
  <c r="I26" i="11"/>
  <c r="F25" i="11"/>
  <c r="M20" i="11"/>
  <c r="I20" i="11"/>
  <c r="M22" i="11"/>
  <c r="I22" i="11"/>
  <c r="M21" i="11"/>
  <c r="I21" i="11"/>
  <c r="M15" i="11"/>
  <c r="I15" i="11"/>
  <c r="M14" i="11"/>
  <c r="F18" i="11"/>
  <c r="I14" i="11"/>
  <c r="M7" i="11"/>
  <c r="I7" i="11"/>
  <c r="M6" i="11"/>
  <c r="I6" i="11"/>
  <c r="M16" i="11"/>
  <c r="I17" i="11"/>
  <c r="D18" i="11"/>
  <c r="M10" i="11"/>
  <c r="I10" i="11"/>
  <c r="I11" i="11"/>
  <c r="M11" i="11"/>
  <c r="D5" i="11"/>
  <c r="E66" i="17" l="1"/>
  <c r="E62" i="17"/>
  <c r="E63" i="17" s="1"/>
  <c r="E64" i="17" s="1"/>
  <c r="E67" i="17"/>
  <c r="E27" i="16"/>
  <c r="E28" i="16" s="1"/>
  <c r="E29" i="16" s="1"/>
  <c r="E32" i="16"/>
  <c r="I38" i="11"/>
  <c r="M45" i="11"/>
  <c r="M38" i="11"/>
  <c r="I54" i="11"/>
  <c r="I45" i="11"/>
  <c r="F61" i="11"/>
  <c r="M56" i="11"/>
  <c r="M61" i="11" s="1"/>
  <c r="I56" i="11"/>
  <c r="I61" i="11" s="1"/>
  <c r="M54" i="11"/>
  <c r="I49" i="11"/>
  <c r="M49" i="11"/>
  <c r="M29" i="11"/>
  <c r="M33" i="11" s="1"/>
  <c r="I29" i="11"/>
  <c r="I33" i="11" s="1"/>
  <c r="F33" i="11"/>
  <c r="M23" i="11"/>
  <c r="I12" i="11"/>
  <c r="I23" i="11"/>
  <c r="M25" i="11"/>
  <c r="M27" i="11" s="1"/>
  <c r="I25" i="11"/>
  <c r="I27" i="11" s="1"/>
  <c r="F27" i="11"/>
  <c r="I18" i="11"/>
  <c r="M12" i="11"/>
  <c r="M18" i="11"/>
  <c r="F5" i="11"/>
  <c r="F8" i="11" s="1"/>
  <c r="D8" i="11"/>
  <c r="M5" i="11" l="1"/>
  <c r="M8" i="11" s="1"/>
  <c r="I5" i="11"/>
  <c r="I8" i="11" s="1"/>
  <c r="E31" i="12" l="1"/>
  <c r="E32" i="12"/>
  <c r="E28" i="12" l="1"/>
  <c r="E29" i="12" s="1"/>
  <c r="E14" i="17"/>
  <c r="E10" i="17" l="1"/>
  <c r="E8" i="17"/>
  <c r="E7" i="17"/>
  <c r="E16" i="17"/>
  <c r="E13" i="17"/>
  <c r="E15" i="17"/>
  <c r="E11" i="17"/>
  <c r="E17" i="17"/>
  <c r="E18" i="17"/>
  <c r="E22" i="17"/>
  <c r="E23" i="17"/>
  <c r="E9" i="17"/>
  <c r="E19" i="17"/>
  <c r="E20" i="17"/>
  <c r="E12" i="17"/>
  <c r="E21" i="17"/>
  <c r="E31" i="17" l="1"/>
  <c r="E27" i="17"/>
  <c r="E28" i="17" s="1"/>
  <c r="E29" i="17" s="1"/>
  <c r="E32" i="17"/>
</calcChain>
</file>

<file path=xl/sharedStrings.xml><?xml version="1.0" encoding="utf-8"?>
<sst xmlns="http://schemas.openxmlformats.org/spreadsheetml/2006/main" count="331" uniqueCount="100">
  <si>
    <t>doba trvání 
návrhového deště</t>
  </si>
  <si>
    <t>plocha dílčího 
povodí</t>
  </si>
  <si>
    <t>dílčí odtokové 
množství</t>
  </si>
  <si>
    <t>redukovaná 
plocha</t>
  </si>
  <si>
    <t>y</t>
  </si>
  <si>
    <t>intenzita návrhového 
deště</t>
  </si>
  <si>
    <t>l/s/ha</t>
  </si>
  <si>
    <t>min.</t>
  </si>
  <si>
    <t>ha</t>
  </si>
  <si>
    <t>l/s</t>
  </si>
  <si>
    <t>součinitel
 odtoku</t>
  </si>
  <si>
    <r>
      <t>m</t>
    </r>
    <r>
      <rPr>
        <sz val="11"/>
        <rFont val="Calibri"/>
        <family val="2"/>
        <charset val="238"/>
      </rPr>
      <t>2</t>
    </r>
  </si>
  <si>
    <t>číslo UV</t>
  </si>
  <si>
    <t>druh povrchu 
(sklon povrchu 1-5%)</t>
  </si>
  <si>
    <t>výpočet velikosti vsakovacího objektu</t>
  </si>
  <si>
    <r>
      <t>k</t>
    </r>
    <r>
      <rPr>
        <b/>
        <vertAlign val="subscript"/>
        <sz val="11"/>
        <color indexed="10"/>
        <rFont val="Calibri"/>
        <family val="2"/>
        <charset val="238"/>
      </rPr>
      <t>v</t>
    </r>
  </si>
  <si>
    <r>
      <t>A</t>
    </r>
    <r>
      <rPr>
        <b/>
        <vertAlign val="subscript"/>
        <sz val="11"/>
        <color indexed="10"/>
        <rFont val="Calibri"/>
        <family val="2"/>
        <charset val="238"/>
      </rPr>
      <t>red</t>
    </r>
  </si>
  <si>
    <r>
      <t>(m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</si>
  <si>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A</t>
    </r>
    <r>
      <rPr>
        <b/>
        <vertAlign val="subscript"/>
        <sz val="11"/>
        <color indexed="10"/>
        <rFont val="Calibri"/>
        <family val="2"/>
        <charset val="238"/>
      </rPr>
      <t>VZ</t>
    </r>
  </si>
  <si>
    <r>
      <t>A</t>
    </r>
    <r>
      <rPr>
        <b/>
        <vertAlign val="subscript"/>
        <sz val="11"/>
        <color indexed="8"/>
        <rFont val="Calibri"/>
        <family val="2"/>
        <charset val="238"/>
      </rPr>
      <t>vsak</t>
    </r>
  </si>
  <si>
    <r>
      <t>t</t>
    </r>
    <r>
      <rPr>
        <b/>
        <vertAlign val="subscript"/>
        <sz val="11"/>
        <color indexed="10"/>
        <rFont val="Calibri"/>
        <family val="2"/>
        <charset val="238"/>
      </rPr>
      <t>c</t>
    </r>
  </si>
  <si>
    <r>
      <t>h</t>
    </r>
    <r>
      <rPr>
        <b/>
        <vertAlign val="subscript"/>
        <sz val="11"/>
        <color indexed="10"/>
        <rFont val="Calibri"/>
        <family val="2"/>
        <charset val="238"/>
      </rPr>
      <t>d</t>
    </r>
  </si>
  <si>
    <t>f=2</t>
  </si>
  <si>
    <r>
      <rPr>
        <b/>
        <sz val="11"/>
        <color indexed="8"/>
        <rFont val="Calibri"/>
        <family val="2"/>
        <charset val="238"/>
      </rPr>
      <t>V</t>
    </r>
    <r>
      <rPr>
        <b/>
        <vertAlign val="subscript"/>
        <sz val="11"/>
        <color indexed="8"/>
        <rFont val="Calibri"/>
        <family val="2"/>
        <charset val="238"/>
      </rPr>
      <t>vz</t>
    </r>
    <r>
      <rPr>
        <b/>
        <sz val="11"/>
        <color indexed="8"/>
        <rFont val="Calibri"/>
        <family val="2"/>
        <charset val="238"/>
      </rPr>
      <t>=h</t>
    </r>
    <r>
      <rPr>
        <b/>
        <vertAlign val="subscript"/>
        <sz val="11"/>
        <color indexed="8"/>
        <rFont val="Calibri"/>
        <family val="2"/>
        <charset val="238"/>
      </rPr>
      <t>d</t>
    </r>
    <r>
      <rPr>
        <b/>
        <sz val="11"/>
        <color indexed="8"/>
        <rFont val="Calibri"/>
        <family val="2"/>
        <charset val="238"/>
      </rPr>
      <t>/1000*(A</t>
    </r>
    <r>
      <rPr>
        <b/>
        <vertAlign val="subscript"/>
        <sz val="11"/>
        <color indexed="8"/>
        <rFont val="Calibri"/>
        <family val="2"/>
        <charset val="238"/>
      </rPr>
      <t>red</t>
    </r>
    <r>
      <rPr>
        <b/>
        <sz val="11"/>
        <color indexed="8"/>
        <rFont val="Calibri"/>
        <family val="2"/>
        <charset val="238"/>
      </rPr>
      <t>+A</t>
    </r>
    <r>
      <rPr>
        <b/>
        <vertAlign val="subscript"/>
        <sz val="11"/>
        <color indexed="8"/>
        <rFont val="Calibri"/>
        <family val="2"/>
        <charset val="238"/>
      </rPr>
      <t>vz</t>
    </r>
    <r>
      <rPr>
        <b/>
        <sz val="11"/>
        <color indexed="8"/>
        <rFont val="Calibri"/>
        <family val="2"/>
        <charset val="238"/>
      </rPr>
      <t>)-1/f*k</t>
    </r>
    <r>
      <rPr>
        <b/>
        <vertAlign val="subscript"/>
        <sz val="11"/>
        <color indexed="8"/>
        <rFont val="Calibri"/>
        <family val="2"/>
        <charset val="238"/>
      </rPr>
      <t>v</t>
    </r>
    <r>
      <rPr>
        <b/>
        <sz val="11"/>
        <color indexed="8"/>
        <rFont val="Calibri"/>
        <family val="2"/>
        <charset val="238"/>
      </rPr>
      <t>*A</t>
    </r>
    <r>
      <rPr>
        <b/>
        <vertAlign val="subscript"/>
        <sz val="11"/>
        <color indexed="8"/>
        <rFont val="Calibri"/>
        <family val="2"/>
        <charset val="238"/>
      </rPr>
      <t>vsak</t>
    </r>
    <r>
      <rPr>
        <b/>
        <sz val="11"/>
        <color indexed="8"/>
        <rFont val="Calibri"/>
        <family val="2"/>
        <charset val="238"/>
      </rPr>
      <t>*t</t>
    </r>
    <r>
      <rPr>
        <b/>
        <vertAlign val="subscript"/>
        <sz val="11"/>
        <color indexed="8"/>
        <rFont val="Calibri"/>
        <family val="2"/>
        <charset val="238"/>
      </rPr>
      <t>c</t>
    </r>
    <r>
      <rPr>
        <b/>
        <sz val="11"/>
        <color indexed="8"/>
        <rFont val="Calibri"/>
        <family val="2"/>
        <charset val="238"/>
      </rPr>
      <t xml:space="preserve">*60 </t>
    </r>
  </si>
  <si>
    <r>
      <t>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</si>
  <si>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rPr>
        <b/>
        <sz val="11"/>
        <color indexed="8"/>
        <rFont val="Calibri"/>
        <family val="2"/>
        <charset val="238"/>
      </rPr>
      <t>Q</t>
    </r>
    <r>
      <rPr>
        <b/>
        <vertAlign val="subscript"/>
        <sz val="11"/>
        <color indexed="8"/>
        <rFont val="Calibri"/>
        <family val="2"/>
        <charset val="238"/>
      </rPr>
      <t>vsak</t>
    </r>
    <r>
      <rPr>
        <sz val="11"/>
        <color theme="1"/>
        <rFont val="Calibri"/>
        <family val="2"/>
        <charset val="238"/>
        <scheme val="minor"/>
      </rPr>
      <t>=1/f*k</t>
    </r>
    <r>
      <rPr>
        <vertAlign val="subscript"/>
        <sz val="11"/>
        <color indexed="8"/>
        <rFont val="Calibri"/>
        <family val="2"/>
        <charset val="238"/>
      </rPr>
      <t>v</t>
    </r>
    <r>
      <rPr>
        <sz val="11"/>
        <color theme="1"/>
        <rFont val="Calibri"/>
        <family val="2"/>
        <charset val="238"/>
        <scheme val="minor"/>
      </rPr>
      <t>*A</t>
    </r>
    <r>
      <rPr>
        <vertAlign val="subscript"/>
        <sz val="11"/>
        <color indexed="8"/>
        <rFont val="Calibri"/>
        <family val="2"/>
        <charset val="238"/>
      </rPr>
      <t>vsak</t>
    </r>
  </si>
  <si>
    <r>
      <t>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*s</t>
    </r>
    <r>
      <rPr>
        <vertAlign val="superscript"/>
        <sz val="11"/>
        <color indexed="8"/>
        <rFont val="Calibri"/>
        <family val="2"/>
        <charset val="238"/>
      </rPr>
      <t>-1</t>
    </r>
    <r>
      <rPr>
        <sz val="11"/>
        <color theme="1"/>
        <rFont val="Calibri"/>
        <family val="2"/>
        <charset val="238"/>
        <scheme val="minor"/>
      </rPr>
      <t>)</t>
    </r>
  </si>
  <si>
    <r>
      <rPr>
        <b/>
        <sz val="11"/>
        <color indexed="8"/>
        <rFont val="Calibri"/>
        <family val="2"/>
        <charset val="238"/>
      </rPr>
      <t>T</t>
    </r>
    <r>
      <rPr>
        <b/>
        <vertAlign val="subscript"/>
        <sz val="11"/>
        <color indexed="8"/>
        <rFont val="Calibri"/>
        <family val="2"/>
        <charset val="238"/>
      </rPr>
      <t>pr</t>
    </r>
    <r>
      <rPr>
        <sz val="11"/>
        <color theme="1"/>
        <rFont val="Calibri"/>
        <family val="2"/>
        <charset val="238"/>
        <scheme val="minor"/>
      </rPr>
      <t>=V</t>
    </r>
    <r>
      <rPr>
        <vertAlign val="subscript"/>
        <sz val="11"/>
        <color indexed="8"/>
        <rFont val="Calibri"/>
        <family val="2"/>
        <charset val="238"/>
      </rPr>
      <t>vz</t>
    </r>
    <r>
      <rPr>
        <sz val="11"/>
        <color theme="1"/>
        <rFont val="Calibri"/>
        <family val="2"/>
        <charset val="238"/>
        <scheme val="minor"/>
      </rPr>
      <t>/Q</t>
    </r>
    <r>
      <rPr>
        <vertAlign val="subscript"/>
        <sz val="11"/>
        <color indexed="8"/>
        <rFont val="Calibri"/>
        <family val="2"/>
        <charset val="238"/>
      </rPr>
      <t>vsak</t>
    </r>
  </si>
  <si>
    <t>(s)</t>
  </si>
  <si>
    <t>(hod)</t>
  </si>
  <si>
    <r>
      <t>T</t>
    </r>
    <r>
      <rPr>
        <vertAlign val="subscript"/>
        <sz val="11"/>
        <color indexed="8"/>
        <rFont val="Calibri"/>
        <family val="2"/>
        <charset val="238"/>
      </rPr>
      <t xml:space="preserve">pr </t>
    </r>
    <r>
      <rPr>
        <sz val="11"/>
        <color theme="1"/>
        <rFont val="Calibri"/>
        <family val="2"/>
        <charset val="238"/>
        <scheme val="minor"/>
      </rPr>
      <t>&lt; 72hod (vyhovuje)</t>
    </r>
  </si>
  <si>
    <t>štěrk</t>
  </si>
  <si>
    <r>
      <rPr>
        <b/>
        <sz val="11"/>
        <color indexed="8"/>
        <rFont val="Calibri"/>
        <family val="2"/>
        <charset val="238"/>
      </rPr>
      <t>W</t>
    </r>
    <r>
      <rPr>
        <b/>
        <vertAlign val="subscript"/>
        <sz val="11"/>
        <color indexed="8"/>
        <rFont val="Calibri"/>
        <family val="2"/>
        <charset val="238"/>
      </rPr>
      <t>min</t>
    </r>
    <r>
      <rPr>
        <sz val="11"/>
        <color theme="1"/>
        <rFont val="Calibri"/>
        <family val="2"/>
        <charset val="238"/>
        <scheme val="minor"/>
      </rPr>
      <t>=V</t>
    </r>
    <r>
      <rPr>
        <vertAlign val="subscript"/>
        <sz val="11"/>
        <color indexed="8"/>
        <rFont val="Calibri"/>
        <family val="2"/>
        <charset val="238"/>
      </rPr>
      <t>vz</t>
    </r>
    <r>
      <rPr>
        <sz val="11"/>
        <color theme="1"/>
        <rFont val="Calibri"/>
        <family val="2"/>
        <charset val="238"/>
        <scheme val="minor"/>
      </rPr>
      <t>/m</t>
    </r>
  </si>
  <si>
    <t>boxy</t>
  </si>
  <si>
    <r>
      <rPr>
        <b/>
        <sz val="11"/>
        <rFont val="Calibri"/>
        <family val="2"/>
        <charset val="238"/>
      </rPr>
      <t>W</t>
    </r>
    <r>
      <rPr>
        <b/>
        <vertAlign val="subscript"/>
        <sz val="11"/>
        <rFont val="Calibri"/>
        <family val="2"/>
        <charset val="238"/>
      </rPr>
      <t>min</t>
    </r>
    <r>
      <rPr>
        <sz val="11"/>
        <rFont val="Calibri"/>
        <family val="2"/>
        <charset val="238"/>
      </rPr>
      <t>=V</t>
    </r>
    <r>
      <rPr>
        <vertAlign val="subscript"/>
        <sz val="11"/>
        <rFont val="Calibri"/>
        <family val="2"/>
        <charset val="238"/>
      </rPr>
      <t>vz</t>
    </r>
    <r>
      <rPr>
        <sz val="11"/>
        <rFont val="Calibri"/>
        <family val="2"/>
        <charset val="238"/>
      </rPr>
      <t>/m</t>
    </r>
  </si>
  <si>
    <r>
      <t>(m</t>
    </r>
    <r>
      <rPr>
        <vertAlign val="superscript"/>
        <sz val="11"/>
        <rFont val="Calibri"/>
        <family val="2"/>
        <charset val="238"/>
      </rPr>
      <t>3</t>
    </r>
    <r>
      <rPr>
        <sz val="11"/>
        <rFont val="Calibri"/>
        <family val="2"/>
        <charset val="238"/>
      </rPr>
      <t>)</t>
    </r>
  </si>
  <si>
    <t>asfalt</t>
  </si>
  <si>
    <t>OV-1</t>
  </si>
  <si>
    <t>kamenná dlažba (do betonu)</t>
  </si>
  <si>
    <t>zámková dlažba (do štěrku)</t>
  </si>
  <si>
    <t>zámková dlažba (do betonu)</t>
  </si>
  <si>
    <t>OV-3</t>
  </si>
  <si>
    <t>OV-4</t>
  </si>
  <si>
    <t>OV-5</t>
  </si>
  <si>
    <t>UV-6</t>
  </si>
  <si>
    <t>OV-7</t>
  </si>
  <si>
    <r>
      <t xml:space="preserve">Celkový předpokládaný odtok ze stávajících ploch  je vypočten v následující tabulce pro 15-min. návrhový déšť, 
s periodicitou </t>
    </r>
    <r>
      <rPr>
        <b/>
        <sz val="10"/>
        <color rgb="FFFF0000"/>
        <rFont val="Arial"/>
        <family val="2"/>
        <charset val="238"/>
      </rPr>
      <t>n=0,5 (obytná území)</t>
    </r>
    <r>
      <rPr>
        <b/>
        <sz val="10"/>
        <rFont val="Arial"/>
        <family val="2"/>
        <charset val="238"/>
      </rPr>
      <t xml:space="preserve"> - ombrografická stanice SLANÝ.</t>
    </r>
  </si>
  <si>
    <r>
      <t xml:space="preserve"> 15-min. návrhový déšť, 
s periodicitou</t>
    </r>
    <r>
      <rPr>
        <b/>
        <sz val="10"/>
        <color rgb="FFFF0000"/>
        <rFont val="Arial"/>
        <family val="2"/>
        <charset val="238"/>
      </rPr>
      <t xml:space="preserve"> n=0,2 (městská centra)</t>
    </r>
    <r>
      <rPr>
        <b/>
        <sz val="10"/>
        <rFont val="Arial"/>
        <family val="2"/>
        <charset val="238"/>
      </rPr>
      <t xml:space="preserve"> - ombrografická stanice SLANÝ.</t>
    </r>
  </si>
  <si>
    <t>UV-8</t>
  </si>
  <si>
    <t>OV-9</t>
  </si>
  <si>
    <t>UV-10</t>
  </si>
  <si>
    <t>kamenná dlažba (do štěrku)</t>
  </si>
  <si>
    <t>UV-11</t>
  </si>
  <si>
    <t>UV-12</t>
  </si>
  <si>
    <t>UV-Ž</t>
  </si>
  <si>
    <t>UV-13</t>
  </si>
  <si>
    <t>UV-14</t>
  </si>
  <si>
    <t>UV-15</t>
  </si>
  <si>
    <t>nátok po povrchu (z bypassu)</t>
  </si>
  <si>
    <t>nátok po povrchu (z chodníku)</t>
  </si>
  <si>
    <t>hostivař 
15 min
n=0,2</t>
  </si>
  <si>
    <t>hostivař 
15 min 
n=0,1</t>
  </si>
  <si>
    <t>hostivař 
5 min
n=0,2</t>
  </si>
  <si>
    <t>hostivař 
5 min 
n=0,1</t>
  </si>
  <si>
    <t>hostivař 
30 min
n=0,2</t>
  </si>
  <si>
    <t>hostivař 
30 min 
n=0,1</t>
  </si>
  <si>
    <r>
      <t>i=166,67*h</t>
    </r>
    <r>
      <rPr>
        <b/>
        <vertAlign val="subscript"/>
        <sz val="11"/>
        <rFont val="Calibri"/>
        <family val="2"/>
        <charset val="238"/>
        <scheme val="minor"/>
      </rPr>
      <t>d</t>
    </r>
    <r>
      <rPr>
        <b/>
        <sz val="11"/>
        <rFont val="Calibri"/>
        <family val="2"/>
        <charset val="238"/>
        <scheme val="minor"/>
      </rPr>
      <t>/t</t>
    </r>
    <r>
      <rPr>
        <b/>
        <vertAlign val="subscript"/>
        <sz val="11"/>
        <rFont val="Calibri"/>
        <family val="2"/>
        <charset val="238"/>
        <scheme val="minor"/>
      </rPr>
      <t>c</t>
    </r>
  </si>
  <si>
    <t>nátok po povrchu
(z bypassu)</t>
  </si>
  <si>
    <t>nátok po povrchu
(z chodníku)</t>
  </si>
  <si>
    <t>Praha-Hostivař
n=0,2</t>
  </si>
  <si>
    <t xml:space="preserve">Qc </t>
  </si>
  <si>
    <t>(l/s)</t>
  </si>
  <si>
    <r>
      <t>V</t>
    </r>
    <r>
      <rPr>
        <b/>
        <vertAlign val="subscript"/>
        <sz val="10"/>
        <color indexed="8"/>
        <rFont val="Calibri"/>
        <family val="2"/>
        <charset val="238"/>
      </rPr>
      <t>vz</t>
    </r>
    <r>
      <rPr>
        <b/>
        <sz val="10"/>
        <color indexed="8"/>
        <rFont val="Calibri"/>
        <family val="2"/>
        <charset val="238"/>
      </rPr>
      <t>=h</t>
    </r>
    <r>
      <rPr>
        <b/>
        <vertAlign val="subscript"/>
        <sz val="10"/>
        <color indexed="8"/>
        <rFont val="Calibri"/>
        <family val="2"/>
        <charset val="238"/>
      </rPr>
      <t>d</t>
    </r>
    <r>
      <rPr>
        <b/>
        <sz val="10"/>
        <color indexed="8"/>
        <rFont val="Calibri"/>
        <family val="2"/>
        <charset val="238"/>
      </rPr>
      <t>/1000*(A</t>
    </r>
    <r>
      <rPr>
        <b/>
        <vertAlign val="subscript"/>
        <sz val="10"/>
        <color indexed="8"/>
        <rFont val="Calibri"/>
        <family val="2"/>
        <charset val="238"/>
      </rPr>
      <t>red</t>
    </r>
    <r>
      <rPr>
        <b/>
        <sz val="10"/>
        <color indexed="8"/>
        <rFont val="Calibri"/>
        <family val="2"/>
        <charset val="238"/>
      </rPr>
      <t>+A</t>
    </r>
    <r>
      <rPr>
        <b/>
        <vertAlign val="subscript"/>
        <sz val="10"/>
        <color indexed="8"/>
        <rFont val="Calibri"/>
        <family val="2"/>
        <charset val="238"/>
      </rPr>
      <t>vz</t>
    </r>
    <r>
      <rPr>
        <b/>
        <sz val="10"/>
        <color indexed="8"/>
        <rFont val="Calibri"/>
        <family val="2"/>
        <charset val="238"/>
      </rPr>
      <t>)-(1/f*k</t>
    </r>
    <r>
      <rPr>
        <b/>
        <vertAlign val="subscript"/>
        <sz val="10"/>
        <color indexed="8"/>
        <rFont val="Calibri"/>
        <family val="2"/>
        <charset val="238"/>
      </rPr>
      <t>v</t>
    </r>
    <r>
      <rPr>
        <b/>
        <sz val="10"/>
        <color indexed="8"/>
        <rFont val="Calibri"/>
        <family val="2"/>
        <charset val="238"/>
      </rPr>
      <t>*A</t>
    </r>
    <r>
      <rPr>
        <b/>
        <vertAlign val="subscript"/>
        <sz val="10"/>
        <color indexed="8"/>
        <rFont val="Calibri"/>
        <family val="2"/>
        <charset val="238"/>
      </rPr>
      <t>vsak</t>
    </r>
    <r>
      <rPr>
        <b/>
        <sz val="10"/>
        <color indexed="8"/>
        <rFont val="Calibri"/>
        <family val="2"/>
        <charset val="238"/>
      </rPr>
      <t>*t</t>
    </r>
    <r>
      <rPr>
        <b/>
        <vertAlign val="subscript"/>
        <sz val="10"/>
        <color indexed="8"/>
        <rFont val="Calibri"/>
        <family val="2"/>
        <charset val="238"/>
      </rPr>
      <t>c</t>
    </r>
    <r>
      <rPr>
        <b/>
        <sz val="10"/>
        <color indexed="8"/>
        <rFont val="Calibri"/>
        <family val="2"/>
        <charset val="238"/>
      </rPr>
      <t xml:space="preserve">*60)-(Qc*(tc*60)/1000) </t>
    </r>
  </si>
  <si>
    <r>
      <t>(m</t>
    </r>
    <r>
      <rPr>
        <b/>
        <vertAlign val="superscript"/>
        <sz val="14"/>
        <color indexed="8"/>
        <rFont val="Calibri"/>
        <family val="2"/>
        <charset val="238"/>
      </rPr>
      <t>3</t>
    </r>
    <r>
      <rPr>
        <b/>
        <sz val="14"/>
        <color theme="1"/>
        <rFont val="Calibri"/>
        <family val="2"/>
        <charset val="238"/>
        <scheme val="minor"/>
      </rPr>
      <t>)</t>
    </r>
  </si>
  <si>
    <r>
      <t>Q</t>
    </r>
    <r>
      <rPr>
        <b/>
        <vertAlign val="subscript"/>
        <sz val="11"/>
        <color theme="1"/>
        <rFont val="Calibri"/>
        <family val="2"/>
        <charset val="238"/>
        <scheme val="minor"/>
      </rPr>
      <t>c</t>
    </r>
  </si>
  <si>
    <r>
      <t>T</t>
    </r>
    <r>
      <rPr>
        <vertAlign val="subscript"/>
        <sz val="11"/>
        <color indexed="8"/>
        <rFont val="Calibri"/>
        <family val="2"/>
        <charset val="238"/>
      </rPr>
      <t xml:space="preserve">pr </t>
    </r>
    <r>
      <rPr>
        <sz val="11"/>
        <color theme="1"/>
        <rFont val="Calibri"/>
        <family val="2"/>
        <charset val="238"/>
        <scheme val="minor"/>
      </rPr>
      <t>&lt; 24hod (vyhovuje)</t>
    </r>
  </si>
  <si>
    <r>
      <rPr>
        <b/>
        <sz val="11"/>
        <color indexed="8"/>
        <rFont val="Calibri"/>
        <family val="2"/>
        <charset val="238"/>
      </rPr>
      <t>T</t>
    </r>
    <r>
      <rPr>
        <b/>
        <vertAlign val="subscript"/>
        <sz val="11"/>
        <color indexed="8"/>
        <rFont val="Calibri"/>
        <family val="2"/>
        <charset val="238"/>
      </rPr>
      <t>pr</t>
    </r>
    <r>
      <rPr>
        <sz val="11"/>
        <color theme="1"/>
        <rFont val="Calibri"/>
        <family val="2"/>
        <charset val="238"/>
        <scheme val="minor"/>
      </rPr>
      <t>=V</t>
    </r>
    <r>
      <rPr>
        <vertAlign val="subscript"/>
        <sz val="11"/>
        <color indexed="8"/>
        <rFont val="Calibri"/>
        <family val="2"/>
        <charset val="238"/>
      </rPr>
      <t>vz</t>
    </r>
    <r>
      <rPr>
        <sz val="11"/>
        <color theme="1"/>
        <rFont val="Calibri"/>
        <family val="2"/>
        <charset val="238"/>
        <scheme val="minor"/>
      </rPr>
      <t>/Q</t>
    </r>
    <r>
      <rPr>
        <vertAlign val="subscript"/>
        <sz val="11"/>
        <color indexed="8"/>
        <rFont val="Calibri"/>
        <family val="2"/>
        <charset val="238"/>
      </rPr>
      <t>vsak</t>
    </r>
    <r>
      <rPr>
        <sz val="11"/>
        <color indexed="8"/>
        <rFont val="Calibri"/>
        <family val="2"/>
        <charset val="238"/>
      </rPr>
      <t>+Q</t>
    </r>
    <r>
      <rPr>
        <vertAlign val="subscript"/>
        <sz val="11"/>
        <color indexed="8"/>
        <rFont val="Calibri"/>
        <family val="2"/>
        <charset val="238"/>
      </rPr>
      <t>c</t>
    </r>
  </si>
  <si>
    <r>
      <t>A</t>
    </r>
    <r>
      <rPr>
        <b/>
        <vertAlign val="subscript"/>
        <sz val="11"/>
        <color rgb="FFFF0000"/>
        <rFont val="Calibri"/>
        <family val="2"/>
        <charset val="238"/>
      </rPr>
      <t>vsak</t>
    </r>
  </si>
  <si>
    <r>
      <t>(m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)</t>
    </r>
  </si>
  <si>
    <r>
      <rPr>
        <b/>
        <strike/>
        <sz val="11"/>
        <color indexed="8"/>
        <rFont val="Calibri"/>
        <family val="2"/>
        <charset val="238"/>
      </rPr>
      <t>V</t>
    </r>
    <r>
      <rPr>
        <b/>
        <strike/>
        <vertAlign val="subscript"/>
        <sz val="11"/>
        <color indexed="8"/>
        <rFont val="Calibri"/>
        <family val="2"/>
        <charset val="238"/>
      </rPr>
      <t>vz</t>
    </r>
    <r>
      <rPr>
        <b/>
        <strike/>
        <sz val="11"/>
        <color indexed="8"/>
        <rFont val="Calibri"/>
        <family val="2"/>
        <charset val="238"/>
      </rPr>
      <t>=h</t>
    </r>
    <r>
      <rPr>
        <b/>
        <strike/>
        <vertAlign val="subscript"/>
        <sz val="11"/>
        <color indexed="8"/>
        <rFont val="Calibri"/>
        <family val="2"/>
        <charset val="238"/>
      </rPr>
      <t>d</t>
    </r>
    <r>
      <rPr>
        <b/>
        <strike/>
        <sz val="11"/>
        <color indexed="8"/>
        <rFont val="Calibri"/>
        <family val="2"/>
        <charset val="238"/>
      </rPr>
      <t>/1000*(A</t>
    </r>
    <r>
      <rPr>
        <b/>
        <strike/>
        <vertAlign val="subscript"/>
        <sz val="11"/>
        <color indexed="8"/>
        <rFont val="Calibri"/>
        <family val="2"/>
        <charset val="238"/>
      </rPr>
      <t>red</t>
    </r>
    <r>
      <rPr>
        <b/>
        <strike/>
        <sz val="11"/>
        <color indexed="8"/>
        <rFont val="Calibri"/>
        <family val="2"/>
        <charset val="238"/>
      </rPr>
      <t>+A</t>
    </r>
    <r>
      <rPr>
        <b/>
        <strike/>
        <vertAlign val="subscript"/>
        <sz val="11"/>
        <color indexed="8"/>
        <rFont val="Calibri"/>
        <family val="2"/>
        <charset val="238"/>
      </rPr>
      <t>vz</t>
    </r>
    <r>
      <rPr>
        <b/>
        <strike/>
        <sz val="11"/>
        <color indexed="8"/>
        <rFont val="Calibri"/>
        <family val="2"/>
        <charset val="238"/>
      </rPr>
      <t>)-1/f*k</t>
    </r>
    <r>
      <rPr>
        <b/>
        <strike/>
        <vertAlign val="subscript"/>
        <sz val="11"/>
        <color indexed="8"/>
        <rFont val="Calibri"/>
        <family val="2"/>
        <charset val="238"/>
      </rPr>
      <t>v</t>
    </r>
    <r>
      <rPr>
        <b/>
        <strike/>
        <sz val="11"/>
        <color indexed="8"/>
        <rFont val="Calibri"/>
        <family val="2"/>
        <charset val="238"/>
      </rPr>
      <t>*A</t>
    </r>
    <r>
      <rPr>
        <b/>
        <strike/>
        <vertAlign val="subscript"/>
        <sz val="11"/>
        <color indexed="8"/>
        <rFont val="Calibri"/>
        <family val="2"/>
        <charset val="238"/>
      </rPr>
      <t>vsak</t>
    </r>
    <r>
      <rPr>
        <b/>
        <strike/>
        <sz val="11"/>
        <color indexed="8"/>
        <rFont val="Calibri"/>
        <family val="2"/>
        <charset val="238"/>
      </rPr>
      <t>*t</t>
    </r>
    <r>
      <rPr>
        <b/>
        <strike/>
        <vertAlign val="subscript"/>
        <sz val="11"/>
        <color indexed="8"/>
        <rFont val="Calibri"/>
        <family val="2"/>
        <charset val="238"/>
      </rPr>
      <t>c</t>
    </r>
    <r>
      <rPr>
        <b/>
        <strike/>
        <sz val="11"/>
        <color indexed="8"/>
        <rFont val="Calibri"/>
        <family val="2"/>
        <charset val="238"/>
      </rPr>
      <t xml:space="preserve">*60 </t>
    </r>
  </si>
  <si>
    <r>
      <t>(m</t>
    </r>
    <r>
      <rPr>
        <strike/>
        <vertAlign val="superscript"/>
        <sz val="11"/>
        <color indexed="8"/>
        <rFont val="Calibri"/>
        <family val="2"/>
        <charset val="238"/>
      </rPr>
      <t>3</t>
    </r>
    <r>
      <rPr>
        <strike/>
        <sz val="11"/>
        <color theme="1"/>
        <rFont val="Calibri"/>
        <family val="2"/>
        <charset val="238"/>
        <scheme val="minor"/>
      </rPr>
      <t>)</t>
    </r>
  </si>
  <si>
    <r>
      <t>(m</t>
    </r>
    <r>
      <rPr>
        <b/>
        <strike/>
        <vertAlign val="superscript"/>
        <sz val="14"/>
        <color indexed="8"/>
        <rFont val="Calibri"/>
        <family val="2"/>
        <charset val="238"/>
      </rPr>
      <t>3</t>
    </r>
    <r>
      <rPr>
        <b/>
        <strike/>
        <sz val="14"/>
        <color theme="1"/>
        <rFont val="Calibri"/>
        <family val="2"/>
        <charset val="238"/>
        <scheme val="minor"/>
      </rPr>
      <t>)</t>
    </r>
  </si>
  <si>
    <r>
      <rPr>
        <b/>
        <strike/>
        <sz val="11"/>
        <color indexed="8"/>
        <rFont val="Calibri"/>
        <family val="2"/>
        <charset val="238"/>
      </rPr>
      <t>Q</t>
    </r>
    <r>
      <rPr>
        <b/>
        <strike/>
        <vertAlign val="subscript"/>
        <sz val="11"/>
        <color indexed="8"/>
        <rFont val="Calibri"/>
        <family val="2"/>
        <charset val="238"/>
      </rPr>
      <t>vsak</t>
    </r>
    <r>
      <rPr>
        <strike/>
        <sz val="11"/>
        <color theme="1"/>
        <rFont val="Calibri"/>
        <family val="2"/>
        <charset val="238"/>
        <scheme val="minor"/>
      </rPr>
      <t>=1/f*k</t>
    </r>
    <r>
      <rPr>
        <strike/>
        <vertAlign val="subscript"/>
        <sz val="11"/>
        <color indexed="8"/>
        <rFont val="Calibri"/>
        <family val="2"/>
        <charset val="238"/>
      </rPr>
      <t>v</t>
    </r>
    <r>
      <rPr>
        <strike/>
        <sz val="11"/>
        <color theme="1"/>
        <rFont val="Calibri"/>
        <family val="2"/>
        <charset val="238"/>
        <scheme val="minor"/>
      </rPr>
      <t>*A</t>
    </r>
    <r>
      <rPr>
        <strike/>
        <vertAlign val="subscript"/>
        <sz val="11"/>
        <color indexed="8"/>
        <rFont val="Calibri"/>
        <family val="2"/>
        <charset val="238"/>
      </rPr>
      <t>vsak</t>
    </r>
  </si>
  <si>
    <r>
      <t>(m</t>
    </r>
    <r>
      <rPr>
        <strike/>
        <vertAlign val="superscript"/>
        <sz val="11"/>
        <color indexed="8"/>
        <rFont val="Calibri"/>
        <family val="2"/>
        <charset val="238"/>
      </rPr>
      <t>3</t>
    </r>
    <r>
      <rPr>
        <strike/>
        <sz val="11"/>
        <color theme="1"/>
        <rFont val="Calibri"/>
        <family val="2"/>
        <charset val="238"/>
        <scheme val="minor"/>
      </rPr>
      <t>*s</t>
    </r>
    <r>
      <rPr>
        <strike/>
        <vertAlign val="superscript"/>
        <sz val="11"/>
        <color indexed="8"/>
        <rFont val="Calibri"/>
        <family val="2"/>
        <charset val="238"/>
      </rPr>
      <t>-1</t>
    </r>
    <r>
      <rPr>
        <strike/>
        <sz val="11"/>
        <color theme="1"/>
        <rFont val="Calibri"/>
        <family val="2"/>
        <charset val="238"/>
        <scheme val="minor"/>
      </rPr>
      <t>)</t>
    </r>
  </si>
  <si>
    <r>
      <rPr>
        <b/>
        <strike/>
        <sz val="11"/>
        <color indexed="8"/>
        <rFont val="Calibri"/>
        <family val="2"/>
        <charset val="238"/>
      </rPr>
      <t>T</t>
    </r>
    <r>
      <rPr>
        <b/>
        <strike/>
        <vertAlign val="subscript"/>
        <sz val="11"/>
        <color indexed="8"/>
        <rFont val="Calibri"/>
        <family val="2"/>
        <charset val="238"/>
      </rPr>
      <t>pr</t>
    </r>
    <r>
      <rPr>
        <strike/>
        <sz val="11"/>
        <color theme="1"/>
        <rFont val="Calibri"/>
        <family val="2"/>
        <charset val="238"/>
        <scheme val="minor"/>
      </rPr>
      <t>=V</t>
    </r>
    <r>
      <rPr>
        <strike/>
        <vertAlign val="subscript"/>
        <sz val="11"/>
        <color indexed="8"/>
        <rFont val="Calibri"/>
        <family val="2"/>
        <charset val="238"/>
      </rPr>
      <t>vz</t>
    </r>
    <r>
      <rPr>
        <strike/>
        <sz val="11"/>
        <color theme="1"/>
        <rFont val="Calibri"/>
        <family val="2"/>
        <charset val="238"/>
        <scheme val="minor"/>
      </rPr>
      <t>/Q</t>
    </r>
    <r>
      <rPr>
        <strike/>
        <vertAlign val="subscript"/>
        <sz val="11"/>
        <color indexed="8"/>
        <rFont val="Calibri"/>
        <family val="2"/>
        <charset val="238"/>
      </rPr>
      <t>vsak</t>
    </r>
  </si>
  <si>
    <r>
      <t>T</t>
    </r>
    <r>
      <rPr>
        <strike/>
        <vertAlign val="subscript"/>
        <sz val="11"/>
        <color indexed="8"/>
        <rFont val="Calibri"/>
        <family val="2"/>
        <charset val="238"/>
      </rPr>
      <t xml:space="preserve">pr </t>
    </r>
    <r>
      <rPr>
        <strike/>
        <sz val="11"/>
        <color theme="1"/>
        <rFont val="Calibri"/>
        <family val="2"/>
        <charset val="238"/>
        <scheme val="minor"/>
      </rPr>
      <t>&lt; 72hod (vyhovuje)</t>
    </r>
  </si>
  <si>
    <r>
      <rPr>
        <b/>
        <strike/>
        <sz val="11"/>
        <color indexed="8"/>
        <rFont val="Calibri"/>
        <family val="2"/>
        <charset val="238"/>
      </rPr>
      <t>W</t>
    </r>
    <r>
      <rPr>
        <b/>
        <strike/>
        <vertAlign val="subscript"/>
        <sz val="11"/>
        <color indexed="8"/>
        <rFont val="Calibri"/>
        <family val="2"/>
        <charset val="238"/>
      </rPr>
      <t>min</t>
    </r>
    <r>
      <rPr>
        <strike/>
        <sz val="11"/>
        <color theme="1"/>
        <rFont val="Calibri"/>
        <family val="2"/>
        <charset val="238"/>
        <scheme val="minor"/>
      </rPr>
      <t>=V</t>
    </r>
    <r>
      <rPr>
        <strike/>
        <vertAlign val="subscript"/>
        <sz val="11"/>
        <color indexed="8"/>
        <rFont val="Calibri"/>
        <family val="2"/>
        <charset val="238"/>
      </rPr>
      <t>vz</t>
    </r>
    <r>
      <rPr>
        <strike/>
        <sz val="11"/>
        <color theme="1"/>
        <rFont val="Calibri"/>
        <family val="2"/>
        <charset val="238"/>
        <scheme val="minor"/>
      </rPr>
      <t>/m</t>
    </r>
  </si>
  <si>
    <r>
      <rPr>
        <b/>
        <strike/>
        <sz val="11"/>
        <rFont val="Calibri"/>
        <family val="2"/>
        <charset val="238"/>
      </rPr>
      <t>W</t>
    </r>
    <r>
      <rPr>
        <b/>
        <strike/>
        <vertAlign val="subscript"/>
        <sz val="11"/>
        <rFont val="Calibri"/>
        <family val="2"/>
        <charset val="238"/>
      </rPr>
      <t>min</t>
    </r>
    <r>
      <rPr>
        <strike/>
        <sz val="11"/>
        <rFont val="Calibri"/>
        <family val="2"/>
        <charset val="238"/>
      </rPr>
      <t>=V</t>
    </r>
    <r>
      <rPr>
        <strike/>
        <vertAlign val="subscript"/>
        <sz val="11"/>
        <rFont val="Calibri"/>
        <family val="2"/>
        <charset val="238"/>
      </rPr>
      <t>vz</t>
    </r>
    <r>
      <rPr>
        <strike/>
        <sz val="11"/>
        <rFont val="Calibri"/>
        <family val="2"/>
        <charset val="238"/>
      </rPr>
      <t>/m</t>
    </r>
  </si>
  <si>
    <r>
      <t>(m</t>
    </r>
    <r>
      <rPr>
        <strike/>
        <vertAlign val="superscript"/>
        <sz val="11"/>
        <rFont val="Calibri"/>
        <family val="2"/>
        <charset val="238"/>
      </rPr>
      <t>3</t>
    </r>
    <r>
      <rPr>
        <strike/>
        <sz val="11"/>
        <rFont val="Calibri"/>
        <family val="2"/>
        <charset val="238"/>
      </rPr>
      <t>)</t>
    </r>
  </si>
  <si>
    <t>OV-2</t>
  </si>
  <si>
    <r>
      <t>5,6*10</t>
    </r>
    <r>
      <rPr>
        <vertAlign val="superscript"/>
        <sz val="11"/>
        <color theme="1"/>
        <rFont val="Calibri"/>
        <family val="2"/>
        <charset val="238"/>
        <scheme val="minor"/>
      </rPr>
      <t>-6</t>
    </r>
  </si>
  <si>
    <r>
      <t xml:space="preserve"> 15-min. návrhový déšť, 
s periodicitou</t>
    </r>
    <r>
      <rPr>
        <b/>
        <sz val="10"/>
        <color rgb="FFFF0000"/>
        <rFont val="Arial"/>
        <family val="2"/>
        <charset val="238"/>
      </rPr>
      <t xml:space="preserve"> n=0,2 (městská centra)</t>
    </r>
    <r>
      <rPr>
        <b/>
        <sz val="10"/>
        <rFont val="Arial"/>
        <family val="2"/>
        <charset val="238"/>
      </rPr>
      <t xml:space="preserve"> - 
ombrografická stanice SLANÝ.</t>
    </r>
  </si>
  <si>
    <t xml:space="preserve">HYDROTECHNICKÉ VÝPOČTY (pro jednotlivé odvodňovací prvky) </t>
  </si>
  <si>
    <t>HYDROTECHNICKÉ VÝPOČTY (dle příslušnosti k prvkům HDV a MZI)</t>
  </si>
  <si>
    <t>VSAK RR3
(HDV)</t>
  </si>
  <si>
    <t>výpočet velikosti vsakovacího objektu 
(RR3 - HDV)</t>
  </si>
  <si>
    <t>VSAK RR2
(HDV+MZI)</t>
  </si>
  <si>
    <t xml:space="preserve">výpočet velikosti vsakovacího objektu vč. regulovaného odtoku 
(RR2 - HDV+MZI) </t>
  </si>
  <si>
    <t>výpočet velikosti vsakovacího objektu
(RR1 + P1 - MZI)</t>
  </si>
  <si>
    <t>VSAK RR1 + P1
(MZI)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</si>
</sst>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"/>
    <numFmt numFmtId="166" formatCode="0.00000000"/>
  </numFmts>
  <fonts count="5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sz val="1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vertAlign val="subscript"/>
      <sz val="11"/>
      <color indexed="10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vertAlign val="subscript"/>
      <sz val="11"/>
      <color indexed="8"/>
      <name val="Calibri"/>
      <family val="2"/>
      <charset val="238"/>
    </font>
    <font>
      <b/>
      <vertAlign val="subscript"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vertAlign val="subscript"/>
      <sz val="11"/>
      <name val="Calibri"/>
      <family val="2"/>
      <charset val="238"/>
    </font>
    <font>
      <vertAlign val="subscript"/>
      <sz val="11"/>
      <name val="Calibri"/>
      <family val="2"/>
      <charset val="238"/>
    </font>
    <font>
      <vertAlign val="superscript"/>
      <sz val="11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vertAlign val="subscript"/>
      <sz val="1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vertAlign val="subscript"/>
      <sz val="10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vertAlign val="superscript"/>
      <sz val="14"/>
      <color indexed="8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5"/>
      <color theme="1"/>
      <name val="Calibri"/>
      <family val="2"/>
      <charset val="238"/>
      <scheme val="minor"/>
    </font>
    <font>
      <sz val="15"/>
      <color theme="1"/>
      <name val="Calibri"/>
      <family val="2"/>
      <charset val="238"/>
      <scheme val="minor"/>
    </font>
    <font>
      <b/>
      <vertAlign val="subscript"/>
      <sz val="11"/>
      <color rgb="FFFF0000"/>
      <name val="Calibri"/>
      <family val="2"/>
      <charset val="238"/>
    </font>
    <font>
      <strike/>
      <sz val="11"/>
      <color theme="1"/>
      <name val="Calibri"/>
      <family val="2"/>
      <charset val="238"/>
      <scheme val="minor"/>
    </font>
    <font>
      <b/>
      <strike/>
      <sz val="11"/>
      <color theme="1"/>
      <name val="Calibri"/>
      <family val="2"/>
      <charset val="238"/>
      <scheme val="minor"/>
    </font>
    <font>
      <b/>
      <strike/>
      <sz val="11"/>
      <color indexed="8"/>
      <name val="Calibri"/>
      <family val="2"/>
      <charset val="238"/>
    </font>
    <font>
      <b/>
      <strike/>
      <vertAlign val="subscript"/>
      <sz val="11"/>
      <color indexed="8"/>
      <name val="Calibri"/>
      <family val="2"/>
      <charset val="238"/>
    </font>
    <font>
      <strike/>
      <vertAlign val="superscript"/>
      <sz val="11"/>
      <color indexed="8"/>
      <name val="Calibri"/>
      <family val="2"/>
      <charset val="238"/>
    </font>
    <font>
      <b/>
      <strike/>
      <sz val="14"/>
      <color theme="1"/>
      <name val="Calibri"/>
      <family val="2"/>
      <charset val="238"/>
      <scheme val="minor"/>
    </font>
    <font>
      <b/>
      <strike/>
      <vertAlign val="superscript"/>
      <sz val="14"/>
      <color indexed="8"/>
      <name val="Calibri"/>
      <family val="2"/>
      <charset val="238"/>
    </font>
    <font>
      <strike/>
      <vertAlign val="subscript"/>
      <sz val="11"/>
      <color indexed="8"/>
      <name val="Calibri"/>
      <family val="2"/>
      <charset val="238"/>
    </font>
    <font>
      <strike/>
      <sz val="11"/>
      <color rgb="FF0070C0"/>
      <name val="Calibri"/>
      <family val="2"/>
      <charset val="238"/>
      <scheme val="minor"/>
    </font>
    <font>
      <b/>
      <strike/>
      <sz val="11"/>
      <color rgb="FF0070C0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b/>
      <strike/>
      <sz val="11"/>
      <name val="Calibri"/>
      <family val="2"/>
      <charset val="238"/>
    </font>
    <font>
      <b/>
      <strike/>
      <vertAlign val="subscript"/>
      <sz val="11"/>
      <name val="Calibri"/>
      <family val="2"/>
      <charset val="238"/>
    </font>
    <font>
      <strike/>
      <sz val="11"/>
      <name val="Calibri"/>
      <family val="2"/>
      <charset val="238"/>
    </font>
    <font>
      <strike/>
      <vertAlign val="subscript"/>
      <sz val="11"/>
      <name val="Calibri"/>
      <family val="2"/>
      <charset val="238"/>
    </font>
    <font>
      <strike/>
      <vertAlign val="superscript"/>
      <sz val="11"/>
      <name val="Calibri"/>
      <family val="2"/>
      <charset val="238"/>
    </font>
    <font>
      <b/>
      <sz val="11"/>
      <name val="Arial Black"/>
      <family val="2"/>
      <charset val="238"/>
    </font>
    <font>
      <b/>
      <sz val="11"/>
      <color theme="1"/>
      <name val="Arial Black"/>
      <family val="2"/>
      <charset val="238"/>
    </font>
    <font>
      <b/>
      <sz val="10"/>
      <name val="Arial Black"/>
      <family val="2"/>
      <charset val="238"/>
    </font>
    <font>
      <b/>
      <sz val="10"/>
      <color theme="1"/>
      <name val="Arial Black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3">
    <xf numFmtId="0" fontId="0" fillId="0" borderId="0" xfId="0"/>
    <xf numFmtId="0" fontId="4" fillId="0" borderId="0" xfId="0" applyFont="1"/>
    <xf numFmtId="0" fontId="6" fillId="0" borderId="17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Continuous" vertical="center"/>
    </xf>
    <xf numFmtId="0" fontId="7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4" fillId="0" borderId="14" xfId="0" applyFont="1" applyBorder="1" applyAlignment="1">
      <alignment vertical="center" wrapText="1"/>
    </xf>
    <xf numFmtId="165" fontId="4" fillId="0" borderId="12" xfId="0" applyNumberFormat="1" applyFont="1" applyBorder="1" applyAlignment="1">
      <alignment vertical="center"/>
    </xf>
    <xf numFmtId="164" fontId="4" fillId="0" borderId="7" xfId="0" applyNumberFormat="1" applyFont="1" applyBorder="1" applyAlignment="1">
      <alignment horizontal="right" vertical="center"/>
    </xf>
    <xf numFmtId="165" fontId="4" fillId="0" borderId="7" xfId="0" applyNumberFormat="1" applyFont="1" applyBorder="1" applyAlignment="1">
      <alignment horizontal="center" vertical="center"/>
    </xf>
    <xf numFmtId="164" fontId="4" fillId="0" borderId="7" xfId="0" applyNumberFormat="1" applyFont="1" applyBorder="1"/>
    <xf numFmtId="0" fontId="4" fillId="0" borderId="7" xfId="0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right" vertical="center"/>
    </xf>
    <xf numFmtId="164" fontId="4" fillId="0" borderId="5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/>
    <xf numFmtId="0" fontId="4" fillId="0" borderId="5" xfId="0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right" vertical="center"/>
    </xf>
    <xf numFmtId="165" fontId="4" fillId="0" borderId="11" xfId="0" applyNumberFormat="1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165" fontId="4" fillId="0" borderId="24" xfId="0" applyNumberFormat="1" applyFont="1" applyBorder="1" applyAlignment="1">
      <alignment vertical="center"/>
    </xf>
    <xf numFmtId="164" fontId="4" fillId="0" borderId="25" xfId="0" applyNumberFormat="1" applyFont="1" applyBorder="1" applyAlignment="1">
      <alignment horizontal="right" vertical="center"/>
    </xf>
    <xf numFmtId="0" fontId="4" fillId="0" borderId="25" xfId="0" applyFont="1" applyBorder="1" applyAlignment="1">
      <alignment horizontal="center" vertical="center"/>
    </xf>
    <xf numFmtId="2" fontId="4" fillId="0" borderId="26" xfId="0" applyNumberFormat="1" applyFont="1" applyBorder="1" applyAlignment="1">
      <alignment horizontal="right" vertical="center"/>
    </xf>
    <xf numFmtId="0" fontId="8" fillId="0" borderId="27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0" fillId="0" borderId="2" xfId="0" applyBorder="1"/>
    <xf numFmtId="0" fontId="5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0" fillId="0" borderId="28" xfId="0" applyBorder="1"/>
    <xf numFmtId="0" fontId="5" fillId="0" borderId="2" xfId="0" applyFont="1" applyBorder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28" xfId="0" applyNumberFormat="1" applyBorder="1" applyAlignment="1">
      <alignment horizontal="center" vertical="center"/>
    </xf>
    <xf numFmtId="166" fontId="0" fillId="0" borderId="28" xfId="0" applyNumberFormat="1" applyBorder="1" applyAlignment="1">
      <alignment horizontal="center" vertical="center"/>
    </xf>
    <xf numFmtId="0" fontId="0" fillId="0" borderId="28" xfId="0" applyBorder="1" applyAlignment="1">
      <alignment vertical="center"/>
    </xf>
    <xf numFmtId="165" fontId="16" fillId="0" borderId="28" xfId="0" applyNumberFormat="1" applyFont="1" applyBorder="1" applyAlignment="1">
      <alignment horizontal="center" vertical="center"/>
    </xf>
    <xf numFmtId="165" fontId="0" fillId="0" borderId="28" xfId="0" applyNumberFormat="1" applyBorder="1" applyAlignment="1">
      <alignment horizontal="center" vertical="center"/>
    </xf>
    <xf numFmtId="0" fontId="0" fillId="0" borderId="23" xfId="0" applyBorder="1"/>
    <xf numFmtId="0" fontId="0" fillId="0" borderId="29" xfId="0" applyBorder="1"/>
    <xf numFmtId="0" fontId="0" fillId="0" borderId="29" xfId="0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2" fontId="17" fillId="0" borderId="20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/>
    </xf>
    <xf numFmtId="2" fontId="17" fillId="0" borderId="30" xfId="0" applyNumberFormat="1" applyFont="1" applyBorder="1" applyAlignment="1">
      <alignment horizontal="center" vertical="center"/>
    </xf>
    <xf numFmtId="2" fontId="4" fillId="0" borderId="0" xfId="0" applyNumberFormat="1" applyFont="1"/>
    <xf numFmtId="0" fontId="4" fillId="0" borderId="2" xfId="0" applyFont="1" applyBorder="1"/>
    <xf numFmtId="0" fontId="4" fillId="0" borderId="31" xfId="0" applyFont="1" applyBorder="1"/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right" vertical="center"/>
    </xf>
    <xf numFmtId="165" fontId="4" fillId="0" borderId="9" xfId="0" applyNumberFormat="1" applyFont="1" applyBorder="1" applyAlignment="1">
      <alignment horizontal="center" vertical="center"/>
    </xf>
    <xf numFmtId="164" fontId="4" fillId="0" borderId="9" xfId="0" applyNumberFormat="1" applyFont="1" applyBorder="1"/>
    <xf numFmtId="0" fontId="4" fillId="0" borderId="9" xfId="0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right" vertical="center"/>
    </xf>
    <xf numFmtId="0" fontId="7" fillId="0" borderId="17" xfId="0" applyFont="1" applyBorder="1" applyAlignment="1">
      <alignment horizontal="centerContinuous" vertical="center"/>
    </xf>
    <xf numFmtId="0" fontId="4" fillId="0" borderId="38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165" fontId="4" fillId="0" borderId="0" xfId="0" applyNumberFormat="1" applyFont="1"/>
    <xf numFmtId="164" fontId="4" fillId="0" borderId="0" xfId="0" applyNumberFormat="1" applyFont="1"/>
    <xf numFmtId="0" fontId="4" fillId="0" borderId="0" xfId="0" applyFont="1" applyAlignment="1">
      <alignment horizontal="center" vertical="center"/>
    </xf>
    <xf numFmtId="165" fontId="4" fillId="0" borderId="15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 wrapText="1"/>
    </xf>
    <xf numFmtId="0" fontId="6" fillId="0" borderId="17" xfId="0" applyFont="1" applyBorder="1" applyAlignment="1">
      <alignment horizontal="center" vertical="center"/>
    </xf>
    <xf numFmtId="165" fontId="4" fillId="0" borderId="25" xfId="0" applyNumberFormat="1" applyFont="1" applyBorder="1" applyAlignment="1">
      <alignment horizontal="center" vertical="center"/>
    </xf>
    <xf numFmtId="164" fontId="4" fillId="0" borderId="25" xfId="0" applyNumberFormat="1" applyFont="1" applyBorder="1"/>
    <xf numFmtId="0" fontId="4" fillId="0" borderId="27" xfId="0" applyFont="1" applyBorder="1" applyAlignment="1">
      <alignment horizontal="center" vertical="center"/>
    </xf>
    <xf numFmtId="0" fontId="4" fillId="0" borderId="19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4" fillId="2" borderId="0" xfId="0" applyFont="1" applyFill="1"/>
    <xf numFmtId="0" fontId="4" fillId="6" borderId="0" xfId="0" applyFont="1" applyFill="1"/>
    <xf numFmtId="0" fontId="4" fillId="7" borderId="0" xfId="0" applyFont="1" applyFill="1"/>
    <xf numFmtId="0" fontId="8" fillId="0" borderId="0" xfId="0" applyFont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4" fillId="5" borderId="0" xfId="0" applyNumberFormat="1" applyFont="1" applyFill="1"/>
    <xf numFmtId="0" fontId="4" fillId="5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2" fontId="4" fillId="2" borderId="0" xfId="0" applyNumberFormat="1" applyFont="1" applyFill="1"/>
    <xf numFmtId="0" fontId="4" fillId="2" borderId="0" xfId="0" applyFont="1" applyFill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2" fontId="4" fillId="4" borderId="0" xfId="0" applyNumberFormat="1" applyFont="1" applyFill="1"/>
    <xf numFmtId="2" fontId="4" fillId="4" borderId="17" xfId="0" applyNumberFormat="1" applyFont="1" applyFill="1" applyBorder="1"/>
    <xf numFmtId="0" fontId="4" fillId="4" borderId="18" xfId="0" applyFont="1" applyFill="1" applyBorder="1"/>
    <xf numFmtId="0" fontId="8" fillId="4" borderId="3" xfId="0" applyFont="1" applyFill="1" applyBorder="1" applyAlignment="1">
      <alignment horizontal="center" vertical="center" wrapText="1"/>
    </xf>
    <xf numFmtId="0" fontId="4" fillId="4" borderId="31" xfId="0" applyFont="1" applyFill="1" applyBorder="1"/>
    <xf numFmtId="0" fontId="4" fillId="4" borderId="31" xfId="0" applyFont="1" applyFill="1" applyBorder="1" applyAlignment="1">
      <alignment horizontal="center" vertical="center"/>
    </xf>
    <xf numFmtId="0" fontId="4" fillId="3" borderId="2" xfId="0" applyFont="1" applyFill="1" applyBorder="1"/>
    <xf numFmtId="0" fontId="4" fillId="3" borderId="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/>
    <xf numFmtId="0" fontId="4" fillId="3" borderId="4" xfId="0" applyFont="1" applyFill="1" applyBorder="1"/>
    <xf numFmtId="0" fontId="4" fillId="3" borderId="20" xfId="0" applyFont="1" applyFill="1" applyBorder="1"/>
    <xf numFmtId="0" fontId="4" fillId="0" borderId="22" xfId="0" applyFont="1" applyBorder="1"/>
    <xf numFmtId="0" fontId="4" fillId="4" borderId="21" xfId="0" applyFont="1" applyFill="1" applyBorder="1" applyAlignment="1">
      <alignment horizontal="center" vertical="center"/>
    </xf>
    <xf numFmtId="0" fontId="4" fillId="8" borderId="13" xfId="0" applyFont="1" applyFill="1" applyBorder="1" applyAlignment="1">
      <alignment vertical="center" wrapText="1"/>
    </xf>
    <xf numFmtId="165" fontId="4" fillId="8" borderId="11" xfId="0" applyNumberFormat="1" applyFont="1" applyFill="1" applyBorder="1" applyAlignment="1">
      <alignment vertical="center"/>
    </xf>
    <xf numFmtId="164" fontId="4" fillId="8" borderId="5" xfId="0" applyNumberFormat="1" applyFont="1" applyFill="1" applyBorder="1" applyAlignment="1">
      <alignment horizontal="right" vertical="center"/>
    </xf>
    <xf numFmtId="165" fontId="4" fillId="8" borderId="5" xfId="0" applyNumberFormat="1" applyFont="1" applyFill="1" applyBorder="1" applyAlignment="1">
      <alignment horizontal="center" vertical="center"/>
    </xf>
    <xf numFmtId="164" fontId="4" fillId="8" borderId="5" xfId="0" applyNumberFormat="1" applyFont="1" applyFill="1" applyBorder="1"/>
    <xf numFmtId="0" fontId="4" fillId="8" borderId="5" xfId="0" applyFont="1" applyFill="1" applyBorder="1" applyAlignment="1">
      <alignment horizontal="center" vertical="center"/>
    </xf>
    <xf numFmtId="2" fontId="4" fillId="8" borderId="6" xfId="0" applyNumberFormat="1" applyFont="1" applyFill="1" applyBorder="1" applyAlignment="1">
      <alignment horizontal="right" vertical="center"/>
    </xf>
    <xf numFmtId="0" fontId="4" fillId="8" borderId="0" xfId="0" applyFont="1" applyFill="1"/>
    <xf numFmtId="0" fontId="4" fillId="8" borderId="16" xfId="0" applyFont="1" applyFill="1" applyBorder="1" applyAlignment="1">
      <alignment vertical="center" wrapText="1"/>
    </xf>
    <xf numFmtId="165" fontId="4" fillId="8" borderId="15" xfId="0" applyNumberFormat="1" applyFont="1" applyFill="1" applyBorder="1" applyAlignment="1">
      <alignment vertical="center"/>
    </xf>
    <xf numFmtId="164" fontId="4" fillId="8" borderId="9" xfId="0" applyNumberFormat="1" applyFont="1" applyFill="1" applyBorder="1" applyAlignment="1">
      <alignment horizontal="right" vertical="center"/>
    </xf>
    <xf numFmtId="165" fontId="4" fillId="8" borderId="9" xfId="0" applyNumberFormat="1" applyFont="1" applyFill="1" applyBorder="1" applyAlignment="1">
      <alignment horizontal="center" vertical="center"/>
    </xf>
    <xf numFmtId="164" fontId="4" fillId="8" borderId="9" xfId="0" applyNumberFormat="1" applyFont="1" applyFill="1" applyBorder="1"/>
    <xf numFmtId="0" fontId="4" fillId="8" borderId="9" xfId="0" applyFont="1" applyFill="1" applyBorder="1" applyAlignment="1">
      <alignment horizontal="center" vertical="center"/>
    </xf>
    <xf numFmtId="2" fontId="4" fillId="8" borderId="10" xfId="0" applyNumberFormat="1" applyFont="1" applyFill="1" applyBorder="1" applyAlignment="1">
      <alignment horizontal="right" vertical="center"/>
    </xf>
    <xf numFmtId="0" fontId="4" fillId="8" borderId="14" xfId="0" applyFont="1" applyFill="1" applyBorder="1" applyAlignment="1">
      <alignment vertical="center" wrapText="1"/>
    </xf>
    <xf numFmtId="165" fontId="4" fillId="8" borderId="12" xfId="0" applyNumberFormat="1" applyFont="1" applyFill="1" applyBorder="1" applyAlignment="1">
      <alignment vertical="center"/>
    </xf>
    <xf numFmtId="164" fontId="4" fillId="8" borderId="7" xfId="0" applyNumberFormat="1" applyFont="1" applyFill="1" applyBorder="1" applyAlignment="1">
      <alignment horizontal="right" vertical="center"/>
    </xf>
    <xf numFmtId="165" fontId="4" fillId="8" borderId="7" xfId="0" applyNumberFormat="1" applyFont="1" applyFill="1" applyBorder="1" applyAlignment="1">
      <alignment horizontal="center" vertical="center"/>
    </xf>
    <xf numFmtId="164" fontId="4" fillId="8" borderId="7" xfId="0" applyNumberFormat="1" applyFont="1" applyFill="1" applyBorder="1"/>
    <xf numFmtId="0" fontId="4" fillId="8" borderId="7" xfId="0" applyFont="1" applyFill="1" applyBorder="1" applyAlignment="1">
      <alignment horizontal="center" vertical="center"/>
    </xf>
    <xf numFmtId="2" fontId="4" fillId="8" borderId="8" xfId="0" applyNumberFormat="1" applyFont="1" applyFill="1" applyBorder="1" applyAlignment="1">
      <alignment horizontal="right" vertical="center"/>
    </xf>
    <xf numFmtId="165" fontId="4" fillId="8" borderId="0" xfId="0" applyNumberFormat="1" applyFont="1" applyFill="1"/>
    <xf numFmtId="164" fontId="4" fillId="8" borderId="0" xfId="0" applyNumberFormat="1" applyFont="1" applyFill="1"/>
    <xf numFmtId="2" fontId="4" fillId="8" borderId="0" xfId="0" applyNumberFormat="1" applyFont="1" applyFill="1"/>
    <xf numFmtId="0" fontId="5" fillId="0" borderId="2" xfId="0" applyFont="1" applyBorder="1" applyAlignment="1">
      <alignment horizontal="centerContinuous" vertical="center" wrapText="1"/>
    </xf>
    <xf numFmtId="165" fontId="5" fillId="0" borderId="28" xfId="0" applyNumberFormat="1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28" fillId="0" borderId="0" xfId="0" applyFont="1" applyAlignment="1">
      <alignment horizontal="center"/>
    </xf>
    <xf numFmtId="2" fontId="28" fillId="0" borderId="28" xfId="0" applyNumberFormat="1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3" borderId="13" xfId="0" applyFont="1" applyFill="1" applyBorder="1" applyAlignment="1">
      <alignment vertical="center" wrapText="1"/>
    </xf>
    <xf numFmtId="165" fontId="4" fillId="3" borderId="11" xfId="0" applyNumberFormat="1" applyFont="1" applyFill="1" applyBorder="1" applyAlignment="1">
      <alignment vertical="center"/>
    </xf>
    <xf numFmtId="164" fontId="4" fillId="3" borderId="5" xfId="0" applyNumberFormat="1" applyFont="1" applyFill="1" applyBorder="1" applyAlignment="1">
      <alignment horizontal="right" vertical="center"/>
    </xf>
    <xf numFmtId="165" fontId="4" fillId="3" borderId="5" xfId="0" applyNumberFormat="1" applyFont="1" applyFill="1" applyBorder="1" applyAlignment="1">
      <alignment horizontal="center" vertical="center"/>
    </xf>
    <xf numFmtId="164" fontId="4" fillId="3" borderId="5" xfId="0" applyNumberFormat="1" applyFont="1" applyFill="1" applyBorder="1"/>
    <xf numFmtId="0" fontId="4" fillId="3" borderId="5" xfId="0" applyFont="1" applyFill="1" applyBorder="1" applyAlignment="1">
      <alignment horizontal="center" vertical="center"/>
    </xf>
    <xf numFmtId="2" fontId="4" fillId="3" borderId="6" xfId="0" applyNumberFormat="1" applyFont="1" applyFill="1" applyBorder="1" applyAlignment="1">
      <alignment horizontal="right" vertical="center"/>
    </xf>
    <xf numFmtId="0" fontId="4" fillId="3" borderId="3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 wrapText="1"/>
    </xf>
    <xf numFmtId="165" fontId="4" fillId="3" borderId="15" xfId="0" applyNumberFormat="1" applyFont="1" applyFill="1" applyBorder="1" applyAlignment="1">
      <alignment vertical="center"/>
    </xf>
    <xf numFmtId="164" fontId="4" fillId="3" borderId="9" xfId="0" applyNumberFormat="1" applyFont="1" applyFill="1" applyBorder="1" applyAlignment="1">
      <alignment horizontal="right" vertical="center"/>
    </xf>
    <xf numFmtId="165" fontId="4" fillId="3" borderId="9" xfId="0" applyNumberFormat="1" applyFont="1" applyFill="1" applyBorder="1" applyAlignment="1">
      <alignment horizontal="center" vertical="center"/>
    </xf>
    <xf numFmtId="164" fontId="4" fillId="3" borderId="9" xfId="0" applyNumberFormat="1" applyFont="1" applyFill="1" applyBorder="1"/>
    <xf numFmtId="0" fontId="4" fillId="3" borderId="9" xfId="0" applyFont="1" applyFill="1" applyBorder="1" applyAlignment="1">
      <alignment horizontal="center" vertical="center"/>
    </xf>
    <xf numFmtId="2" fontId="4" fillId="3" borderId="10" xfId="0" applyNumberFormat="1" applyFont="1" applyFill="1" applyBorder="1" applyAlignment="1">
      <alignment horizontal="right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vertical="center" wrapText="1"/>
    </xf>
    <xf numFmtId="165" fontId="4" fillId="3" borderId="12" xfId="0" applyNumberFormat="1" applyFont="1" applyFill="1" applyBorder="1" applyAlignment="1">
      <alignment vertical="center"/>
    </xf>
    <xf numFmtId="164" fontId="4" fillId="3" borderId="7" xfId="0" applyNumberFormat="1" applyFont="1" applyFill="1" applyBorder="1" applyAlignment="1">
      <alignment horizontal="right" vertical="center"/>
    </xf>
    <xf numFmtId="165" fontId="4" fillId="3" borderId="7" xfId="0" applyNumberFormat="1" applyFont="1" applyFill="1" applyBorder="1" applyAlignment="1">
      <alignment horizontal="center" vertical="center"/>
    </xf>
    <xf numFmtId="164" fontId="4" fillId="3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2" fontId="4" fillId="3" borderId="8" xfId="0" applyNumberFormat="1" applyFont="1" applyFill="1" applyBorder="1" applyAlignment="1">
      <alignment horizontal="right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0" xfId="0" applyFont="1" applyFill="1"/>
    <xf numFmtId="165" fontId="4" fillId="3" borderId="0" xfId="0" applyNumberFormat="1" applyFont="1" applyFill="1"/>
    <xf numFmtId="164" fontId="4" fillId="3" borderId="0" xfId="0" applyNumberFormat="1" applyFont="1" applyFill="1"/>
    <xf numFmtId="2" fontId="4" fillId="3" borderId="0" xfId="0" applyNumberFormat="1" applyFont="1" applyFill="1"/>
    <xf numFmtId="0" fontId="8" fillId="8" borderId="22" xfId="0" applyFont="1" applyFill="1" applyBorder="1" applyAlignment="1">
      <alignment horizontal="center" vertical="center" wrapText="1"/>
    </xf>
    <xf numFmtId="0" fontId="4" fillId="8" borderId="19" xfId="0" applyFont="1" applyFill="1" applyBorder="1" applyAlignment="1">
      <alignment vertical="center" wrapText="1"/>
    </xf>
    <xf numFmtId="165" fontId="4" fillId="8" borderId="24" xfId="0" applyNumberFormat="1" applyFont="1" applyFill="1" applyBorder="1" applyAlignment="1">
      <alignment vertical="center"/>
    </xf>
    <xf numFmtId="164" fontId="4" fillId="8" borderId="25" xfId="0" applyNumberFormat="1" applyFont="1" applyFill="1" applyBorder="1" applyAlignment="1">
      <alignment horizontal="right" vertical="center"/>
    </xf>
    <xf numFmtId="165" fontId="4" fillId="8" borderId="25" xfId="0" applyNumberFormat="1" applyFont="1" applyFill="1" applyBorder="1" applyAlignment="1">
      <alignment horizontal="center" vertical="center"/>
    </xf>
    <xf numFmtId="0" fontId="4" fillId="8" borderId="25" xfId="0" applyFont="1" applyFill="1" applyBorder="1" applyAlignment="1">
      <alignment horizontal="center" vertical="center"/>
    </xf>
    <xf numFmtId="2" fontId="4" fillId="8" borderId="26" xfId="0" applyNumberFormat="1" applyFont="1" applyFill="1" applyBorder="1" applyAlignment="1">
      <alignment horizontal="right" vertical="center"/>
    </xf>
    <xf numFmtId="0" fontId="4" fillId="9" borderId="0" xfId="0" applyFont="1" applyFill="1"/>
    <xf numFmtId="165" fontId="4" fillId="9" borderId="0" xfId="0" applyNumberFormat="1" applyFont="1" applyFill="1"/>
    <xf numFmtId="164" fontId="4" fillId="9" borderId="0" xfId="0" applyNumberFormat="1" applyFont="1" applyFill="1"/>
    <xf numFmtId="2" fontId="4" fillId="9" borderId="0" xfId="0" applyNumberFormat="1" applyFont="1" applyFill="1"/>
    <xf numFmtId="0" fontId="6" fillId="9" borderId="17" xfId="0" applyFont="1" applyFill="1" applyBorder="1" applyAlignment="1">
      <alignment horizontal="center" vertical="center"/>
    </xf>
    <xf numFmtId="0" fontId="4" fillId="9" borderId="22" xfId="0" applyFont="1" applyFill="1" applyBorder="1" applyAlignment="1">
      <alignment vertical="center" wrapText="1"/>
    </xf>
    <xf numFmtId="165" fontId="4" fillId="9" borderId="24" xfId="0" applyNumberFormat="1" applyFont="1" applyFill="1" applyBorder="1" applyAlignment="1">
      <alignment vertical="center"/>
    </xf>
    <xf numFmtId="164" fontId="4" fillId="9" borderId="25" xfId="0" applyNumberFormat="1" applyFont="1" applyFill="1" applyBorder="1" applyAlignment="1">
      <alignment horizontal="right" vertical="center"/>
    </xf>
    <xf numFmtId="165" fontId="4" fillId="9" borderId="25" xfId="0" applyNumberFormat="1" applyFont="1" applyFill="1" applyBorder="1" applyAlignment="1">
      <alignment horizontal="center" vertical="center"/>
    </xf>
    <xf numFmtId="164" fontId="4" fillId="9" borderId="25" xfId="0" applyNumberFormat="1" applyFont="1" applyFill="1" applyBorder="1"/>
    <xf numFmtId="0" fontId="4" fillId="9" borderId="25" xfId="0" applyFont="1" applyFill="1" applyBorder="1" applyAlignment="1">
      <alignment horizontal="center" vertical="center"/>
    </xf>
    <xf numFmtId="2" fontId="4" fillId="9" borderId="26" xfId="0" applyNumberFormat="1" applyFont="1" applyFill="1" applyBorder="1" applyAlignment="1">
      <alignment horizontal="right" vertical="center"/>
    </xf>
    <xf numFmtId="0" fontId="4" fillId="9" borderId="27" xfId="0" applyFont="1" applyFill="1" applyBorder="1" applyAlignment="1">
      <alignment horizontal="center" vertical="center"/>
    </xf>
    <xf numFmtId="0" fontId="4" fillId="9" borderId="13" xfId="0" applyFont="1" applyFill="1" applyBorder="1" applyAlignment="1">
      <alignment vertical="center" wrapText="1"/>
    </xf>
    <xf numFmtId="165" fontId="4" fillId="9" borderId="11" xfId="0" applyNumberFormat="1" applyFont="1" applyFill="1" applyBorder="1" applyAlignment="1">
      <alignment vertical="center"/>
    </xf>
    <xf numFmtId="164" fontId="4" fillId="9" borderId="5" xfId="0" applyNumberFormat="1" applyFont="1" applyFill="1" applyBorder="1" applyAlignment="1">
      <alignment horizontal="right" vertical="center"/>
    </xf>
    <xf numFmtId="165" fontId="4" fillId="9" borderId="5" xfId="0" applyNumberFormat="1" applyFont="1" applyFill="1" applyBorder="1" applyAlignment="1">
      <alignment horizontal="center" vertical="center"/>
    </xf>
    <xf numFmtId="164" fontId="4" fillId="9" borderId="5" xfId="0" applyNumberFormat="1" applyFont="1" applyFill="1" applyBorder="1"/>
    <xf numFmtId="0" fontId="4" fillId="9" borderId="5" xfId="0" applyFont="1" applyFill="1" applyBorder="1" applyAlignment="1">
      <alignment horizontal="center" vertical="center"/>
    </xf>
    <xf numFmtId="2" fontId="4" fillId="9" borderId="6" xfId="0" applyNumberFormat="1" applyFont="1" applyFill="1" applyBorder="1" applyAlignment="1">
      <alignment horizontal="right" vertical="center"/>
    </xf>
    <xf numFmtId="0" fontId="4" fillId="9" borderId="35" xfId="0" applyFont="1" applyFill="1" applyBorder="1" applyAlignment="1">
      <alignment horizontal="center" vertical="center"/>
    </xf>
    <xf numFmtId="0" fontId="4" fillId="9" borderId="16" xfId="0" applyFont="1" applyFill="1" applyBorder="1" applyAlignment="1">
      <alignment vertical="center" wrapText="1"/>
    </xf>
    <xf numFmtId="165" fontId="4" fillId="9" borderId="15" xfId="0" applyNumberFormat="1" applyFont="1" applyFill="1" applyBorder="1" applyAlignment="1">
      <alignment vertical="center"/>
    </xf>
    <xf numFmtId="164" fontId="4" fillId="9" borderId="9" xfId="0" applyNumberFormat="1" applyFont="1" applyFill="1" applyBorder="1" applyAlignment="1">
      <alignment horizontal="right" vertical="center"/>
    </xf>
    <xf numFmtId="165" fontId="4" fillId="9" borderId="9" xfId="0" applyNumberFormat="1" applyFont="1" applyFill="1" applyBorder="1" applyAlignment="1">
      <alignment horizontal="center" vertical="center"/>
    </xf>
    <xf numFmtId="164" fontId="4" fillId="9" borderId="9" xfId="0" applyNumberFormat="1" applyFont="1" applyFill="1" applyBorder="1"/>
    <xf numFmtId="0" fontId="4" fillId="9" borderId="9" xfId="0" applyFont="1" applyFill="1" applyBorder="1" applyAlignment="1">
      <alignment horizontal="center" vertical="center"/>
    </xf>
    <xf numFmtId="2" fontId="4" fillId="9" borderId="10" xfId="0" applyNumberFormat="1" applyFont="1" applyFill="1" applyBorder="1" applyAlignment="1">
      <alignment horizontal="right" vertical="center"/>
    </xf>
    <xf numFmtId="0" fontId="4" fillId="9" borderId="36" xfId="0" applyFont="1" applyFill="1" applyBorder="1" applyAlignment="1">
      <alignment horizontal="center" vertical="center"/>
    </xf>
    <xf numFmtId="0" fontId="4" fillId="9" borderId="14" xfId="0" applyFont="1" applyFill="1" applyBorder="1" applyAlignment="1">
      <alignment vertical="center" wrapText="1"/>
    </xf>
    <xf numFmtId="165" fontId="4" fillId="9" borderId="12" xfId="0" applyNumberFormat="1" applyFont="1" applyFill="1" applyBorder="1" applyAlignment="1">
      <alignment vertical="center"/>
    </xf>
    <xf numFmtId="164" fontId="4" fillId="9" borderId="7" xfId="0" applyNumberFormat="1" applyFont="1" applyFill="1" applyBorder="1" applyAlignment="1">
      <alignment horizontal="right" vertical="center"/>
    </xf>
    <xf numFmtId="165" fontId="4" fillId="9" borderId="7" xfId="0" applyNumberFormat="1" applyFont="1" applyFill="1" applyBorder="1" applyAlignment="1">
      <alignment horizontal="center" vertical="center"/>
    </xf>
    <xf numFmtId="164" fontId="4" fillId="9" borderId="7" xfId="0" applyNumberFormat="1" applyFont="1" applyFill="1" applyBorder="1"/>
    <xf numFmtId="0" fontId="4" fillId="9" borderId="7" xfId="0" applyFont="1" applyFill="1" applyBorder="1" applyAlignment="1">
      <alignment horizontal="center" vertical="center"/>
    </xf>
    <xf numFmtId="2" fontId="4" fillId="9" borderId="8" xfId="0" applyNumberFormat="1" applyFont="1" applyFill="1" applyBorder="1" applyAlignment="1">
      <alignment horizontal="right" vertical="center"/>
    </xf>
    <xf numFmtId="0" fontId="4" fillId="9" borderId="37" xfId="0" applyFont="1" applyFill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165" fontId="35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center"/>
    </xf>
    <xf numFmtId="2" fontId="35" fillId="0" borderId="28" xfId="0" applyNumberFormat="1" applyFont="1" applyBorder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165" fontId="40" fillId="0" borderId="0" xfId="0" applyNumberFormat="1" applyFont="1" applyAlignment="1">
      <alignment horizontal="center" vertical="center"/>
    </xf>
    <xf numFmtId="0" fontId="40" fillId="0" borderId="0" xfId="0" applyFont="1" applyAlignment="1">
      <alignment horizontal="center"/>
    </xf>
    <xf numFmtId="2" fontId="40" fillId="0" borderId="28" xfId="0" applyNumberFormat="1" applyFont="1" applyBorder="1" applyAlignment="1">
      <alignment horizontal="center" vertical="center"/>
    </xf>
    <xf numFmtId="0" fontId="35" fillId="0" borderId="2" xfId="0" applyFont="1" applyBorder="1"/>
    <xf numFmtId="0" fontId="35" fillId="0" borderId="0" xfId="0" applyFont="1"/>
    <xf numFmtId="0" fontId="35" fillId="0" borderId="28" xfId="0" applyFont="1" applyBorder="1"/>
    <xf numFmtId="0" fontId="35" fillId="0" borderId="2" xfId="0" applyFont="1" applyBorder="1" applyAlignment="1">
      <alignment vertical="center"/>
    </xf>
    <xf numFmtId="0" fontId="35" fillId="0" borderId="0" xfId="0" applyFont="1" applyAlignment="1">
      <alignment vertical="center"/>
    </xf>
    <xf numFmtId="0" fontId="35" fillId="0" borderId="0" xfId="0" applyFont="1" applyAlignment="1">
      <alignment horizontal="center" vertical="center"/>
    </xf>
    <xf numFmtId="166" fontId="35" fillId="0" borderId="28" xfId="0" applyNumberFormat="1" applyFont="1" applyBorder="1" applyAlignment="1">
      <alignment horizontal="center" vertical="center"/>
    </xf>
    <xf numFmtId="0" fontId="35" fillId="0" borderId="28" xfId="0" applyFont="1" applyBorder="1" applyAlignment="1">
      <alignment vertical="center"/>
    </xf>
    <xf numFmtId="165" fontId="43" fillId="0" borderId="28" xfId="0" applyNumberFormat="1" applyFont="1" applyBorder="1" applyAlignment="1">
      <alignment horizontal="center" vertical="center"/>
    </xf>
    <xf numFmtId="165" fontId="35" fillId="0" borderId="28" xfId="0" applyNumberFormat="1" applyFont="1" applyBorder="1" applyAlignment="1">
      <alignment horizontal="center" vertical="center"/>
    </xf>
    <xf numFmtId="0" fontId="35" fillId="0" borderId="23" xfId="0" applyFont="1" applyBorder="1"/>
    <xf numFmtId="0" fontId="35" fillId="0" borderId="29" xfId="0" applyFont="1" applyBorder="1"/>
    <xf numFmtId="0" fontId="35" fillId="0" borderId="29" xfId="0" applyFont="1" applyBorder="1" applyAlignment="1">
      <alignment horizontal="center" vertical="center"/>
    </xf>
    <xf numFmtId="0" fontId="36" fillId="0" borderId="30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/>
    </xf>
    <xf numFmtId="2" fontId="44" fillId="0" borderId="20" xfId="0" applyNumberFormat="1" applyFont="1" applyBorder="1" applyAlignment="1">
      <alignment horizontal="center" vertical="center"/>
    </xf>
    <xf numFmtId="0" fontId="45" fillId="0" borderId="0" xfId="0" applyFont="1"/>
    <xf numFmtId="0" fontId="45" fillId="0" borderId="23" xfId="0" applyFont="1" applyBorder="1" applyAlignment="1">
      <alignment horizontal="center" vertical="center"/>
    </xf>
    <xf numFmtId="0" fontId="45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center"/>
    </xf>
    <xf numFmtId="2" fontId="44" fillId="0" borderId="30" xfId="0" applyNumberFormat="1" applyFont="1" applyBorder="1" applyAlignment="1">
      <alignment horizontal="center" vertical="center"/>
    </xf>
    <xf numFmtId="165" fontId="0" fillId="0" borderId="0" xfId="0" applyNumberFormat="1"/>
    <xf numFmtId="0" fontId="7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 wrapText="1"/>
    </xf>
    <xf numFmtId="0" fontId="8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1" fillId="0" borderId="2" xfId="0" applyFont="1" applyBorder="1" applyAlignment="1">
      <alignment horizontal="centerContinuous" vertical="center" wrapText="1"/>
    </xf>
    <xf numFmtId="0" fontId="1" fillId="0" borderId="0" xfId="0" applyFont="1" applyAlignment="1">
      <alignment horizontal="centerContinuous" vertical="center" wrapText="1"/>
    </xf>
    <xf numFmtId="0" fontId="4" fillId="0" borderId="28" xfId="0" applyFont="1" applyBorder="1" applyAlignment="1">
      <alignment horizontal="centerContinuous" vertical="center" wrapText="1"/>
    </xf>
    <xf numFmtId="0" fontId="4" fillId="0" borderId="18" xfId="0" applyFont="1" applyBorder="1" applyAlignment="1">
      <alignment horizontal="centerContinuous" vertical="center"/>
    </xf>
    <xf numFmtId="2" fontId="4" fillId="8" borderId="39" xfId="0" applyNumberFormat="1" applyFont="1" applyFill="1" applyBorder="1" applyAlignment="1">
      <alignment horizontal="right" vertical="center"/>
    </xf>
    <xf numFmtId="2" fontId="4" fillId="8" borderId="40" xfId="0" applyNumberFormat="1" applyFont="1" applyFill="1" applyBorder="1" applyAlignment="1">
      <alignment horizontal="right" vertical="center"/>
    </xf>
    <xf numFmtId="2" fontId="4" fillId="8" borderId="41" xfId="0" applyNumberFormat="1" applyFont="1" applyFill="1" applyBorder="1" applyAlignment="1">
      <alignment horizontal="right" vertical="center"/>
    </xf>
    <xf numFmtId="2" fontId="4" fillId="8" borderId="42" xfId="0" applyNumberFormat="1" applyFont="1" applyFill="1" applyBorder="1" applyAlignment="1">
      <alignment horizontal="right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2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9" borderId="23" xfId="0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 wrapText="1"/>
    </xf>
    <xf numFmtId="0" fontId="0" fillId="8" borderId="31" xfId="0" applyFill="1" applyBorder="1" applyAlignment="1">
      <alignment horizontal="center" vertical="center" wrapText="1"/>
    </xf>
    <xf numFmtId="0" fontId="0" fillId="8" borderId="21" xfId="0" applyFill="1" applyBorder="1" applyAlignment="1">
      <alignment horizontal="center" vertical="center" wrapText="1"/>
    </xf>
    <xf numFmtId="0" fontId="53" fillId="9" borderId="3" xfId="0" applyFont="1" applyFill="1" applyBorder="1" applyAlignment="1">
      <alignment horizontal="center" vertical="center" textRotation="90" wrapText="1"/>
    </xf>
    <xf numFmtId="0" fontId="54" fillId="9" borderId="31" xfId="0" applyFont="1" applyFill="1" applyBorder="1" applyAlignment="1">
      <alignment horizontal="center" vertical="center" textRotation="90"/>
    </xf>
    <xf numFmtId="0" fontId="54" fillId="9" borderId="21" xfId="0" applyFont="1" applyFill="1" applyBorder="1" applyAlignment="1">
      <alignment horizontal="center" vertical="center" textRotation="90"/>
    </xf>
    <xf numFmtId="0" fontId="51" fillId="8" borderId="3" xfId="0" applyFont="1" applyFill="1" applyBorder="1" applyAlignment="1">
      <alignment horizontal="center" vertical="center" textRotation="90" wrapText="1"/>
    </xf>
    <xf numFmtId="0" fontId="52" fillId="8" borderId="31" xfId="0" applyFont="1" applyFill="1" applyBorder="1" applyAlignment="1">
      <alignment horizontal="center" vertical="center" textRotation="90"/>
    </xf>
    <xf numFmtId="0" fontId="52" fillId="8" borderId="21" xfId="0" applyFont="1" applyFill="1" applyBorder="1" applyAlignment="1">
      <alignment horizontal="center" vertical="center" textRotation="90"/>
    </xf>
    <xf numFmtId="0" fontId="53" fillId="3" borderId="3" xfId="0" applyFont="1" applyFill="1" applyBorder="1" applyAlignment="1">
      <alignment horizontal="center" vertical="center" textRotation="90" wrapText="1"/>
    </xf>
    <xf numFmtId="0" fontId="54" fillId="3" borderId="31" xfId="0" applyFont="1" applyFill="1" applyBorder="1" applyAlignment="1">
      <alignment horizontal="center" vertical="center" textRotation="90"/>
    </xf>
    <xf numFmtId="0" fontId="54" fillId="3" borderId="21" xfId="0" applyFont="1" applyFill="1" applyBorder="1" applyAlignment="1">
      <alignment horizontal="center" vertical="center" textRotation="90"/>
    </xf>
    <xf numFmtId="0" fontId="10" fillId="3" borderId="17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9" fillId="0" borderId="0" xfId="0" applyFont="1" applyAlignment="1">
      <alignment horizontal="center" vertical="center" textRotation="90"/>
    </xf>
    <xf numFmtId="0" fontId="10" fillId="8" borderId="17" xfId="0" applyFont="1" applyFill="1" applyBorder="1" applyAlignment="1">
      <alignment horizontal="center" vertical="center" wrapText="1"/>
    </xf>
    <xf numFmtId="0" fontId="0" fillId="8" borderId="18" xfId="0" applyFill="1" applyBorder="1" applyAlignment="1">
      <alignment horizontal="center" vertical="center"/>
    </xf>
    <xf numFmtId="0" fontId="0" fillId="8" borderId="19" xfId="0" applyFill="1" applyBorder="1" applyAlignment="1">
      <alignment horizontal="center" vertical="center"/>
    </xf>
    <xf numFmtId="0" fontId="10" fillId="9" borderId="17" xfId="0" applyFont="1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19" xfId="0" applyFill="1" applyBorder="1" applyAlignment="1">
      <alignment horizontal="center"/>
    </xf>
    <xf numFmtId="0" fontId="36" fillId="0" borderId="0" xfId="0" applyFont="1" applyAlignment="1">
      <alignment horizontal="center" vertical="center" textRotation="90"/>
    </xf>
    <xf numFmtId="0" fontId="25" fillId="0" borderId="0" xfId="0" applyFont="1" applyAlignment="1">
      <alignment horizontal="center" vertical="center" textRotation="90"/>
    </xf>
    <xf numFmtId="0" fontId="27" fillId="0" borderId="0" xfId="0" applyFont="1" applyAlignment="1">
      <alignment horizontal="center" vertical="center" textRotation="90"/>
    </xf>
    <xf numFmtId="0" fontId="32" fillId="9" borderId="17" xfId="0" applyFont="1" applyFill="1" applyBorder="1" applyAlignment="1">
      <alignment horizontal="center" vertical="center" wrapText="1"/>
    </xf>
    <xf numFmtId="0" fontId="33" fillId="9" borderId="18" xfId="0" applyFont="1" applyFill="1" applyBorder="1" applyAlignment="1">
      <alignment horizontal="center" vertical="center"/>
    </xf>
    <xf numFmtId="0" fontId="33" fillId="9" borderId="19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00"/>
  <sheetViews>
    <sheetView tabSelected="1" topLeftCell="A49" zoomScale="70" zoomScaleNormal="70" workbookViewId="0">
      <selection activeCell="V85" sqref="U84:V85"/>
    </sheetView>
  </sheetViews>
  <sheetFormatPr defaultRowHeight="15" x14ac:dyDescent="0.25"/>
  <cols>
    <col min="1" max="1" width="15.7109375" style="1" customWidth="1"/>
    <col min="2" max="2" width="27" style="1" bestFit="1" customWidth="1"/>
    <col min="3" max="4" width="13.42578125" style="1" bestFit="1" customWidth="1"/>
    <col min="5" max="5" width="9.7109375" style="1" bestFit="1" customWidth="1"/>
    <col min="6" max="6" width="12" style="1" customWidth="1"/>
    <col min="7" max="7" width="11.5703125" style="1" bestFit="1" customWidth="1"/>
    <col min="8" max="8" width="17.28515625" style="1" bestFit="1" customWidth="1"/>
    <col min="9" max="9" width="13.7109375" style="1" bestFit="1" customWidth="1"/>
    <col min="10" max="10" width="2.7109375" style="1" customWidth="1"/>
    <col min="11" max="11" width="11.5703125" style="1" customWidth="1"/>
    <col min="12" max="12" width="17.28515625" style="1" customWidth="1"/>
    <col min="13" max="14" width="13.7109375" style="1" customWidth="1"/>
    <col min="15" max="15" width="2.7109375" style="1" customWidth="1"/>
    <col min="16" max="16" width="15.140625" style="1" bestFit="1" customWidth="1"/>
    <col min="17" max="16384" width="9.140625" style="1"/>
  </cols>
  <sheetData>
    <row r="1" spans="1:22" ht="21.75" thickBot="1" x14ac:dyDescent="0.3">
      <c r="A1" s="2" t="s">
        <v>92</v>
      </c>
      <c r="B1" s="3"/>
      <c r="C1" s="4"/>
      <c r="D1" s="4"/>
      <c r="E1" s="4"/>
      <c r="F1" s="4"/>
      <c r="G1" s="4"/>
      <c r="H1" s="4"/>
      <c r="I1" s="5"/>
      <c r="J1" s="261"/>
      <c r="K1" s="72"/>
      <c r="L1" s="4"/>
      <c r="M1" s="5"/>
      <c r="N1" s="253"/>
    </row>
    <row r="2" spans="1:22" ht="39" thickBot="1" x14ac:dyDescent="0.3">
      <c r="A2" s="258" t="s">
        <v>46</v>
      </c>
      <c r="B2" s="259"/>
      <c r="C2" s="254"/>
      <c r="D2" s="254"/>
      <c r="E2" s="254"/>
      <c r="F2" s="254"/>
      <c r="G2" s="254"/>
      <c r="H2" s="254"/>
      <c r="I2" s="260"/>
      <c r="K2" s="258" t="s">
        <v>91</v>
      </c>
      <c r="L2" s="254"/>
      <c r="M2" s="260"/>
      <c r="N2" s="257"/>
    </row>
    <row r="3" spans="1:22" ht="60.75" thickBot="1" x14ac:dyDescent="0.3">
      <c r="A3" s="25" t="s">
        <v>12</v>
      </c>
      <c r="B3" s="26" t="s">
        <v>13</v>
      </c>
      <c r="C3" s="26" t="s">
        <v>1</v>
      </c>
      <c r="D3" s="26" t="s">
        <v>1</v>
      </c>
      <c r="E3" s="26" t="s">
        <v>10</v>
      </c>
      <c r="F3" s="26" t="s">
        <v>3</v>
      </c>
      <c r="G3" s="26" t="s">
        <v>5</v>
      </c>
      <c r="H3" s="26" t="s">
        <v>0</v>
      </c>
      <c r="I3" s="27" t="s">
        <v>2</v>
      </c>
      <c r="K3" s="25" t="s">
        <v>5</v>
      </c>
      <c r="L3" s="26" t="s">
        <v>0</v>
      </c>
      <c r="M3" s="27" t="s">
        <v>2</v>
      </c>
      <c r="N3" s="255"/>
      <c r="P3" s="92" t="s">
        <v>66</v>
      </c>
      <c r="Q3" s="93" t="s">
        <v>60</v>
      </c>
      <c r="R3" s="94" t="s">
        <v>61</v>
      </c>
      <c r="S3" s="111" t="s">
        <v>62</v>
      </c>
      <c r="T3" s="106" t="s">
        <v>63</v>
      </c>
      <c r="U3" s="95" t="s">
        <v>64</v>
      </c>
      <c r="V3" s="96" t="s">
        <v>65</v>
      </c>
    </row>
    <row r="4" spans="1:22" ht="15" customHeight="1" thickBot="1" x14ac:dyDescent="0.3">
      <c r="A4" s="61"/>
      <c r="B4" s="62"/>
      <c r="C4" s="63" t="s">
        <v>11</v>
      </c>
      <c r="D4" s="64" t="s">
        <v>8</v>
      </c>
      <c r="E4" s="65" t="s">
        <v>4</v>
      </c>
      <c r="F4" s="64" t="s">
        <v>8</v>
      </c>
      <c r="G4" s="64" t="s">
        <v>6</v>
      </c>
      <c r="H4" s="64" t="s">
        <v>7</v>
      </c>
      <c r="I4" s="66" t="s">
        <v>9</v>
      </c>
      <c r="K4" s="73" t="s">
        <v>6</v>
      </c>
      <c r="L4" s="64" t="s">
        <v>7</v>
      </c>
      <c r="M4" s="66" t="s">
        <v>9</v>
      </c>
      <c r="N4" s="79"/>
      <c r="P4" s="97">
        <f>166.67*Q4/15</f>
        <v>216.67099999999996</v>
      </c>
      <c r="Q4" s="98">
        <v>19.5</v>
      </c>
      <c r="R4" s="89"/>
      <c r="S4" s="110"/>
      <c r="T4" s="107"/>
      <c r="U4" s="99"/>
      <c r="V4" s="91"/>
    </row>
    <row r="5" spans="1:22" ht="15" customHeight="1" thickBot="1" x14ac:dyDescent="0.3">
      <c r="A5" s="273" t="s">
        <v>37</v>
      </c>
      <c r="B5" s="19" t="s">
        <v>38</v>
      </c>
      <c r="C5" s="18">
        <v>32.11</v>
      </c>
      <c r="D5" s="13">
        <f t="shared" ref="D5:D7" si="0">C5/10000</f>
        <v>3.2109999999999999E-3</v>
      </c>
      <c r="E5" s="14">
        <v>0.8</v>
      </c>
      <c r="F5" s="15">
        <f t="shared" ref="F5:F7" si="1">D5*E5</f>
        <v>2.5688E-3</v>
      </c>
      <c r="G5" s="16">
        <v>170</v>
      </c>
      <c r="H5" s="16">
        <v>15</v>
      </c>
      <c r="I5" s="17">
        <f t="shared" ref="I5:I7" si="2">F5*G5</f>
        <v>0.43669599999999997</v>
      </c>
      <c r="K5" s="76">
        <v>219</v>
      </c>
      <c r="L5" s="16">
        <v>15</v>
      </c>
      <c r="M5" s="17">
        <f>F5*K5</f>
        <v>0.56256720000000005</v>
      </c>
      <c r="N5" s="256"/>
      <c r="P5" s="100">
        <f>166.67*R5/15</f>
        <v>257.78293333333329</v>
      </c>
      <c r="Q5" s="89"/>
      <c r="R5" s="101">
        <v>23.2</v>
      </c>
      <c r="S5" s="109"/>
      <c r="T5" s="108"/>
      <c r="U5" s="90"/>
      <c r="V5" s="102"/>
    </row>
    <row r="6" spans="1:22" ht="15" customHeight="1" thickBot="1" x14ac:dyDescent="0.3">
      <c r="A6" s="275"/>
      <c r="B6" s="81" t="s">
        <v>39</v>
      </c>
      <c r="C6" s="80">
        <v>7</v>
      </c>
      <c r="D6" s="67">
        <f t="shared" si="0"/>
        <v>6.9999999999999999E-4</v>
      </c>
      <c r="E6" s="68">
        <v>0.6</v>
      </c>
      <c r="F6" s="69">
        <f t="shared" si="1"/>
        <v>4.1999999999999996E-4</v>
      </c>
      <c r="G6" s="70">
        <v>170</v>
      </c>
      <c r="H6" s="70">
        <v>15</v>
      </c>
      <c r="I6" s="71">
        <f t="shared" si="2"/>
        <v>7.1399999999999991E-2</v>
      </c>
      <c r="K6" s="74">
        <v>219</v>
      </c>
      <c r="L6" s="70">
        <v>15</v>
      </c>
      <c r="M6" s="71">
        <f t="shared" ref="M6:M7" si="3">F6*K6</f>
        <v>9.1979999999999992E-2</v>
      </c>
      <c r="N6" s="256"/>
      <c r="P6" s="112">
        <f>166.67*S6/5</f>
        <v>376.67419999999998</v>
      </c>
      <c r="Q6" s="113"/>
      <c r="R6" s="114"/>
      <c r="S6" s="110">
        <v>11.3</v>
      </c>
      <c r="T6" s="107"/>
      <c r="U6" s="99"/>
      <c r="V6" s="91"/>
    </row>
    <row r="7" spans="1:22" ht="15" customHeight="1" thickBot="1" x14ac:dyDescent="0.3">
      <c r="A7" s="274"/>
      <c r="B7" s="6" t="s">
        <v>36</v>
      </c>
      <c r="C7" s="7">
        <v>80.55</v>
      </c>
      <c r="D7" s="8">
        <f t="shared" si="0"/>
        <v>8.0549999999999997E-3</v>
      </c>
      <c r="E7" s="9">
        <v>0.8</v>
      </c>
      <c r="F7" s="10">
        <f t="shared" si="1"/>
        <v>6.4440000000000001E-3</v>
      </c>
      <c r="G7" s="11">
        <v>170</v>
      </c>
      <c r="H7" s="11">
        <v>15</v>
      </c>
      <c r="I7" s="12">
        <f t="shared" si="2"/>
        <v>1.09548</v>
      </c>
      <c r="K7" s="75">
        <v>219</v>
      </c>
      <c r="L7" s="11">
        <v>15</v>
      </c>
      <c r="M7" s="12">
        <f t="shared" si="3"/>
        <v>1.4112359999999999</v>
      </c>
      <c r="N7" s="256"/>
      <c r="P7" s="104">
        <f>166.67*T7/5</f>
        <v>436.67539999999997</v>
      </c>
      <c r="Q7" s="105"/>
      <c r="R7" s="105"/>
      <c r="S7" s="105"/>
      <c r="T7" s="116">
        <v>13.1</v>
      </c>
      <c r="U7" s="90"/>
      <c r="V7" s="102"/>
    </row>
    <row r="8" spans="1:22" ht="15" customHeight="1" x14ac:dyDescent="0.25">
      <c r="C8" s="77">
        <f>SUM(C5:C7)</f>
        <v>119.66</v>
      </c>
      <c r="D8" s="78">
        <f t="shared" ref="D8:M8" si="4">SUM(D5:D7)</f>
        <v>1.1965999999999999E-2</v>
      </c>
      <c r="E8" s="77"/>
      <c r="F8" s="78">
        <f t="shared" si="4"/>
        <v>9.4327999999999999E-3</v>
      </c>
      <c r="G8" s="77"/>
      <c r="H8" s="77"/>
      <c r="I8" s="60">
        <f t="shared" si="4"/>
        <v>1.6035759999999999</v>
      </c>
      <c r="J8" s="77"/>
      <c r="K8" s="77"/>
      <c r="L8" s="77"/>
      <c r="M8" s="60">
        <f t="shared" si="4"/>
        <v>2.0657831999999998</v>
      </c>
      <c r="N8" s="60"/>
      <c r="P8" s="103">
        <f>166.67*U8/30</f>
        <v>128.89146666666664</v>
      </c>
      <c r="Q8" s="90"/>
      <c r="R8" s="90"/>
      <c r="S8" s="90"/>
      <c r="T8" s="90"/>
      <c r="U8" s="99">
        <v>23.2</v>
      </c>
      <c r="V8" s="102"/>
    </row>
    <row r="9" spans="1:22" ht="15" customHeight="1" thickBot="1" x14ac:dyDescent="0.3">
      <c r="C9" s="77"/>
      <c r="P9" s="103">
        <f>166.67*V9/30</f>
        <v>156.11423333333332</v>
      </c>
      <c r="Q9" s="91"/>
      <c r="R9" s="91"/>
      <c r="S9" s="91"/>
      <c r="T9" s="91"/>
      <c r="U9" s="102"/>
      <c r="V9" s="102">
        <v>28.1</v>
      </c>
    </row>
    <row r="10" spans="1:22" ht="15" customHeight="1" x14ac:dyDescent="0.25">
      <c r="A10" s="273" t="s">
        <v>89</v>
      </c>
      <c r="B10" s="19" t="s">
        <v>36</v>
      </c>
      <c r="C10" s="18">
        <v>199.14</v>
      </c>
      <c r="D10" s="13">
        <f t="shared" ref="D10" si="5">C10/10000</f>
        <v>1.9913999999999998E-2</v>
      </c>
      <c r="E10" s="14">
        <v>0.8</v>
      </c>
      <c r="F10" s="15">
        <f t="shared" ref="F10" si="6">D10*E10</f>
        <v>1.59312E-2</v>
      </c>
      <c r="G10" s="16">
        <v>170</v>
      </c>
      <c r="H10" s="16">
        <v>15</v>
      </c>
      <c r="I10" s="17">
        <f t="shared" ref="I10" si="7">F10*G10</f>
        <v>2.708304</v>
      </c>
      <c r="K10" s="76">
        <v>219</v>
      </c>
      <c r="L10" s="16">
        <v>15</v>
      </c>
      <c r="M10" s="17">
        <f t="shared" ref="M10" si="8">F10*K10</f>
        <v>3.4889327999999997</v>
      </c>
      <c r="N10" s="256"/>
    </row>
    <row r="11" spans="1:22" ht="15" customHeight="1" thickBot="1" x14ac:dyDescent="0.3">
      <c r="A11" s="274"/>
      <c r="B11" s="6" t="s">
        <v>39</v>
      </c>
      <c r="C11" s="7">
        <v>36.479999999999997</v>
      </c>
      <c r="D11" s="8">
        <f t="shared" ref="D11" si="9">C11/10000</f>
        <v>3.6479999999999998E-3</v>
      </c>
      <c r="E11" s="9">
        <v>0.6</v>
      </c>
      <c r="F11" s="10">
        <f t="shared" ref="F11" si="10">D11*E11</f>
        <v>2.1887999999999999E-3</v>
      </c>
      <c r="G11" s="11">
        <v>170</v>
      </c>
      <c r="H11" s="11">
        <v>15</v>
      </c>
      <c r="I11" s="12">
        <f t="shared" ref="I11" si="11">F11*G11</f>
        <v>0.37209599999999998</v>
      </c>
      <c r="K11" s="75">
        <v>219</v>
      </c>
      <c r="L11" s="11">
        <v>15</v>
      </c>
      <c r="M11" s="12">
        <f t="shared" ref="M11" si="12">F11*K11</f>
        <v>0.47934719999999997</v>
      </c>
      <c r="N11" s="256"/>
    </row>
    <row r="12" spans="1:22" ht="15" customHeight="1" x14ac:dyDescent="0.25">
      <c r="C12" s="77">
        <f>SUM(C9:C11)</f>
        <v>235.61999999999998</v>
      </c>
      <c r="D12" s="78">
        <f t="shared" ref="D12" si="13">SUM(D9:D11)</f>
        <v>2.3561999999999996E-2</v>
      </c>
      <c r="E12" s="77"/>
      <c r="F12" s="78">
        <f t="shared" ref="F12" si="14">SUM(F9:F11)</f>
        <v>1.8120000000000001E-2</v>
      </c>
      <c r="G12" s="77"/>
      <c r="H12" s="77"/>
      <c r="I12" s="60">
        <f t="shared" ref="I12" si="15">SUM(I9:I11)</f>
        <v>3.0804</v>
      </c>
      <c r="J12" s="77"/>
      <c r="K12" s="77"/>
      <c r="L12" s="77"/>
      <c r="M12" s="60">
        <f t="shared" ref="M12" si="16">SUM(M9:M11)</f>
        <v>3.9682799999999996</v>
      </c>
      <c r="N12" s="60"/>
    </row>
    <row r="13" spans="1:22" ht="15" customHeight="1" thickBot="1" x14ac:dyDescent="0.3">
      <c r="C13" s="77"/>
    </row>
    <row r="14" spans="1:22" ht="15" customHeight="1" thickBot="1" x14ac:dyDescent="0.3">
      <c r="A14" s="270" t="s">
        <v>41</v>
      </c>
      <c r="B14" s="19" t="s">
        <v>38</v>
      </c>
      <c r="C14" s="18">
        <v>35.68</v>
      </c>
      <c r="D14" s="13">
        <f t="shared" ref="D14:D17" si="17">C14/10000</f>
        <v>3.568E-3</v>
      </c>
      <c r="E14" s="14">
        <v>0.8</v>
      </c>
      <c r="F14" s="15">
        <f t="shared" ref="F14:F17" si="18">D14*E14</f>
        <v>2.8544E-3</v>
      </c>
      <c r="G14" s="16">
        <v>170</v>
      </c>
      <c r="H14" s="16">
        <v>15</v>
      </c>
      <c r="I14" s="17">
        <f t="shared" ref="I14:I17" si="19">F14*G14</f>
        <v>0.48524800000000001</v>
      </c>
      <c r="K14" s="76">
        <v>219</v>
      </c>
      <c r="L14" s="16">
        <v>15</v>
      </c>
      <c r="M14" s="17">
        <f>F14*K14</f>
        <v>0.62511360000000005</v>
      </c>
      <c r="N14" s="256"/>
    </row>
    <row r="15" spans="1:22" ht="15" customHeight="1" thickBot="1" x14ac:dyDescent="0.3">
      <c r="A15" s="271"/>
      <c r="B15" s="81" t="s">
        <v>40</v>
      </c>
      <c r="C15" s="80">
        <v>9.8699999999999992</v>
      </c>
      <c r="D15" s="67">
        <f t="shared" si="17"/>
        <v>9.8700000000000003E-4</v>
      </c>
      <c r="E15" s="68">
        <v>0.8</v>
      </c>
      <c r="F15" s="69">
        <f t="shared" si="18"/>
        <v>7.8960000000000011E-4</v>
      </c>
      <c r="G15" s="70">
        <v>170</v>
      </c>
      <c r="H15" s="70">
        <v>15</v>
      </c>
      <c r="I15" s="71">
        <f t="shared" si="19"/>
        <v>0.13423200000000002</v>
      </c>
      <c r="K15" s="74">
        <v>219</v>
      </c>
      <c r="L15" s="70">
        <v>15</v>
      </c>
      <c r="M15" s="71">
        <f t="shared" ref="M15" si="20">F15*K15</f>
        <v>0.17292240000000003</v>
      </c>
      <c r="N15" s="256"/>
      <c r="Q15" s="115"/>
    </row>
    <row r="16" spans="1:22" ht="15" customHeight="1" x14ac:dyDescent="0.25">
      <c r="A16" s="271"/>
      <c r="B16" s="81" t="s">
        <v>39</v>
      </c>
      <c r="C16" s="80">
        <v>76.569999999999993</v>
      </c>
      <c r="D16" s="67">
        <f t="shared" si="17"/>
        <v>7.6569999999999997E-3</v>
      </c>
      <c r="E16" s="68">
        <v>0.6</v>
      </c>
      <c r="F16" s="69">
        <f t="shared" si="18"/>
        <v>4.5941999999999997E-3</v>
      </c>
      <c r="G16" s="70">
        <v>170</v>
      </c>
      <c r="H16" s="70">
        <v>15</v>
      </c>
      <c r="I16" s="71">
        <f t="shared" si="19"/>
        <v>0.78101399999999999</v>
      </c>
      <c r="K16" s="74">
        <v>219</v>
      </c>
      <c r="L16" s="70">
        <v>15</v>
      </c>
      <c r="M16" s="71">
        <f t="shared" ref="M16:M17" si="21">F16*K16</f>
        <v>1.0061297999999999</v>
      </c>
      <c r="N16" s="256"/>
    </row>
    <row r="17" spans="1:14" ht="15" customHeight="1" thickBot="1" x14ac:dyDescent="0.3">
      <c r="A17" s="272"/>
      <c r="B17" s="6" t="s">
        <v>36</v>
      </c>
      <c r="C17" s="7">
        <v>262.45</v>
      </c>
      <c r="D17" s="8">
        <f t="shared" si="17"/>
        <v>2.6244999999999997E-2</v>
      </c>
      <c r="E17" s="9">
        <v>0.8</v>
      </c>
      <c r="F17" s="10">
        <f t="shared" si="18"/>
        <v>2.0996000000000001E-2</v>
      </c>
      <c r="G17" s="11">
        <v>170</v>
      </c>
      <c r="H17" s="11">
        <v>15</v>
      </c>
      <c r="I17" s="12">
        <f t="shared" si="19"/>
        <v>3.5693200000000003</v>
      </c>
      <c r="K17" s="75">
        <v>219</v>
      </c>
      <c r="L17" s="11">
        <v>15</v>
      </c>
      <c r="M17" s="12">
        <f t="shared" si="21"/>
        <v>4.5981240000000003</v>
      </c>
      <c r="N17" s="256"/>
    </row>
    <row r="18" spans="1:14" ht="15" customHeight="1" x14ac:dyDescent="0.25">
      <c r="C18" s="77">
        <f>SUM(C14:C17)</f>
        <v>384.57</v>
      </c>
      <c r="D18" s="78">
        <f t="shared" ref="D18" si="22">SUM(D14:D17)</f>
        <v>3.8456999999999998E-2</v>
      </c>
      <c r="E18" s="77"/>
      <c r="F18" s="78">
        <f t="shared" ref="F18" si="23">SUM(F14:F17)</f>
        <v>2.9234200000000002E-2</v>
      </c>
      <c r="G18" s="77"/>
      <c r="H18" s="77"/>
      <c r="I18" s="60">
        <f t="shared" ref="I18" si="24">SUM(I14:I17)</f>
        <v>4.9698140000000004</v>
      </c>
      <c r="J18" s="77"/>
      <c r="K18" s="77"/>
      <c r="L18" s="77"/>
      <c r="M18" s="60">
        <f t="shared" ref="M18" si="25">SUM(M14:M17)</f>
        <v>6.4022898000000001</v>
      </c>
      <c r="N18" s="60"/>
    </row>
    <row r="19" spans="1:14" ht="15" customHeight="1" thickBot="1" x14ac:dyDescent="0.3"/>
    <row r="20" spans="1:14" ht="15" customHeight="1" x14ac:dyDescent="0.25">
      <c r="A20" s="273" t="s">
        <v>42</v>
      </c>
      <c r="B20" s="19" t="s">
        <v>38</v>
      </c>
      <c r="C20" s="18">
        <v>39.79</v>
      </c>
      <c r="D20" s="13">
        <f t="shared" ref="D20:D22" si="26">C20/10000</f>
        <v>3.9789999999999999E-3</v>
      </c>
      <c r="E20" s="14">
        <v>0.8</v>
      </c>
      <c r="F20" s="15">
        <f t="shared" ref="F20:F22" si="27">D20*E20</f>
        <v>3.1832000000000002E-3</v>
      </c>
      <c r="G20" s="16">
        <v>170</v>
      </c>
      <c r="H20" s="16">
        <v>15</v>
      </c>
      <c r="I20" s="17">
        <f t="shared" ref="I20:I22" si="28">F20*G20</f>
        <v>0.54114400000000007</v>
      </c>
      <c r="K20" s="76">
        <v>219</v>
      </c>
      <c r="L20" s="16">
        <v>15</v>
      </c>
      <c r="M20" s="17">
        <f>F20*K20</f>
        <v>0.69712079999999998</v>
      </c>
      <c r="N20" s="256"/>
    </row>
    <row r="21" spans="1:14" ht="15" customHeight="1" x14ac:dyDescent="0.25">
      <c r="A21" s="275"/>
      <c r="B21" s="81" t="s">
        <v>39</v>
      </c>
      <c r="C21" s="80">
        <v>15.18</v>
      </c>
      <c r="D21" s="67">
        <f t="shared" si="26"/>
        <v>1.518E-3</v>
      </c>
      <c r="E21" s="68">
        <v>0.6</v>
      </c>
      <c r="F21" s="69">
        <f t="shared" si="27"/>
        <v>9.1080000000000002E-4</v>
      </c>
      <c r="G21" s="70">
        <v>170</v>
      </c>
      <c r="H21" s="70">
        <v>15</v>
      </c>
      <c r="I21" s="71">
        <f t="shared" si="28"/>
        <v>0.154836</v>
      </c>
      <c r="K21" s="74">
        <v>219</v>
      </c>
      <c r="L21" s="70">
        <v>15</v>
      </c>
      <c r="M21" s="71">
        <f t="shared" ref="M21:M22" si="29">F21*K21</f>
        <v>0.19946520000000001</v>
      </c>
      <c r="N21" s="256"/>
    </row>
    <row r="22" spans="1:14" ht="15" customHeight="1" thickBot="1" x14ac:dyDescent="0.3">
      <c r="A22" s="274"/>
      <c r="B22" s="6" t="s">
        <v>36</v>
      </c>
      <c r="C22" s="7">
        <v>205.28</v>
      </c>
      <c r="D22" s="8">
        <f t="shared" si="26"/>
        <v>2.0528000000000001E-2</v>
      </c>
      <c r="E22" s="9">
        <v>0.8</v>
      </c>
      <c r="F22" s="10">
        <f t="shared" si="27"/>
        <v>1.64224E-2</v>
      </c>
      <c r="G22" s="11">
        <v>170</v>
      </c>
      <c r="H22" s="11">
        <v>15</v>
      </c>
      <c r="I22" s="12">
        <f t="shared" si="28"/>
        <v>2.7918080000000001</v>
      </c>
      <c r="K22" s="75">
        <v>219</v>
      </c>
      <c r="L22" s="11">
        <v>15</v>
      </c>
      <c r="M22" s="12">
        <f t="shared" si="29"/>
        <v>3.5965056</v>
      </c>
      <c r="N22" s="256"/>
    </row>
    <row r="23" spans="1:14" ht="15" customHeight="1" x14ac:dyDescent="0.25">
      <c r="C23" s="77">
        <f>SUM(C19:C22)</f>
        <v>260.25</v>
      </c>
      <c r="D23" s="78">
        <f t="shared" ref="D23" si="30">SUM(D19:D22)</f>
        <v>2.6025E-2</v>
      </c>
      <c r="E23" s="77"/>
      <c r="F23" s="78">
        <f t="shared" ref="F23" si="31">SUM(F19:F22)</f>
        <v>2.0516400000000001E-2</v>
      </c>
      <c r="G23" s="77"/>
      <c r="H23" s="77"/>
      <c r="I23" s="60">
        <f t="shared" ref="I23" si="32">SUM(I19:I22)</f>
        <v>3.4877880000000001</v>
      </c>
      <c r="J23" s="77"/>
      <c r="K23" s="77"/>
      <c r="L23" s="77"/>
      <c r="M23" s="60">
        <f t="shared" ref="M23" si="33">SUM(M19:M22)</f>
        <v>4.4930915999999996</v>
      </c>
      <c r="N23" s="60"/>
    </row>
    <row r="24" spans="1:14" ht="15" customHeight="1" thickBot="1" x14ac:dyDescent="0.3"/>
    <row r="25" spans="1:14" ht="15" customHeight="1" x14ac:dyDescent="0.25">
      <c r="A25" s="273" t="s">
        <v>43</v>
      </c>
      <c r="B25" s="19" t="s">
        <v>36</v>
      </c>
      <c r="C25" s="18">
        <v>104.78</v>
      </c>
      <c r="D25" s="13">
        <f t="shared" ref="D25:D26" si="34">C25/10000</f>
        <v>1.0477999999999999E-2</v>
      </c>
      <c r="E25" s="14">
        <v>0.8</v>
      </c>
      <c r="F25" s="15">
        <f t="shared" ref="F25:F26" si="35">D25*E25</f>
        <v>8.3823999999999999E-3</v>
      </c>
      <c r="G25" s="16">
        <v>170</v>
      </c>
      <c r="H25" s="16">
        <v>15</v>
      </c>
      <c r="I25" s="17">
        <f t="shared" ref="I25:I26" si="36">F25*G25</f>
        <v>1.4250080000000001</v>
      </c>
      <c r="K25" s="76">
        <v>219</v>
      </c>
      <c r="L25" s="16">
        <v>15</v>
      </c>
      <c r="M25" s="17">
        <f t="shared" ref="M25:M26" si="37">F25*K25</f>
        <v>1.8357456000000001</v>
      </c>
      <c r="N25" s="256"/>
    </row>
    <row r="26" spans="1:14" ht="15" customHeight="1" thickBot="1" x14ac:dyDescent="0.3">
      <c r="A26" s="274"/>
      <c r="B26" s="6" t="s">
        <v>39</v>
      </c>
      <c r="C26" s="7">
        <v>77.739999999999995</v>
      </c>
      <c r="D26" s="8">
        <f t="shared" si="34"/>
        <v>7.7739999999999997E-3</v>
      </c>
      <c r="E26" s="9">
        <v>0.6</v>
      </c>
      <c r="F26" s="10">
        <f t="shared" si="35"/>
        <v>4.6644E-3</v>
      </c>
      <c r="G26" s="11">
        <v>170</v>
      </c>
      <c r="H26" s="11">
        <v>15</v>
      </c>
      <c r="I26" s="12">
        <f t="shared" si="36"/>
        <v>0.79294799999999999</v>
      </c>
      <c r="K26" s="75">
        <v>219</v>
      </c>
      <c r="L26" s="11">
        <v>15</v>
      </c>
      <c r="M26" s="12">
        <f t="shared" si="37"/>
        <v>1.0215036</v>
      </c>
      <c r="N26" s="256"/>
    </row>
    <row r="27" spans="1:14" ht="15" customHeight="1" x14ac:dyDescent="0.25">
      <c r="C27" s="77">
        <f>SUM(C24:C26)</f>
        <v>182.51999999999998</v>
      </c>
      <c r="D27" s="78">
        <f t="shared" ref="D27" si="38">SUM(D24:D26)</f>
        <v>1.8251999999999997E-2</v>
      </c>
      <c r="E27" s="77"/>
      <c r="F27" s="78">
        <f t="shared" ref="F27" si="39">SUM(F24:F26)</f>
        <v>1.3046800000000001E-2</v>
      </c>
      <c r="G27" s="77"/>
      <c r="H27" s="77"/>
      <c r="I27" s="60">
        <f t="shared" ref="I27" si="40">SUM(I24:I26)</f>
        <v>2.217956</v>
      </c>
      <c r="J27" s="77"/>
      <c r="K27" s="77"/>
      <c r="L27" s="77"/>
      <c r="M27" s="60">
        <f t="shared" ref="M27" si="41">SUM(M24:M26)</f>
        <v>2.8572492</v>
      </c>
      <c r="N27" s="60"/>
    </row>
    <row r="28" spans="1:14" ht="15" customHeight="1" thickBot="1" x14ac:dyDescent="0.3"/>
    <row r="29" spans="1:14" ht="15" customHeight="1" x14ac:dyDescent="0.25">
      <c r="A29" s="273" t="s">
        <v>44</v>
      </c>
      <c r="B29" s="19" t="s">
        <v>38</v>
      </c>
      <c r="C29" s="18">
        <v>5.46</v>
      </c>
      <c r="D29" s="13">
        <f t="shared" ref="D29:D32" si="42">C29/10000</f>
        <v>5.4600000000000004E-4</v>
      </c>
      <c r="E29" s="14">
        <v>0.8</v>
      </c>
      <c r="F29" s="15">
        <f t="shared" ref="F29:F32" si="43">D29*E29</f>
        <v>4.3680000000000005E-4</v>
      </c>
      <c r="G29" s="16">
        <v>170</v>
      </c>
      <c r="H29" s="16">
        <v>15</v>
      </c>
      <c r="I29" s="17">
        <f t="shared" ref="I29:I32" si="44">F29*G29</f>
        <v>7.4256000000000003E-2</v>
      </c>
      <c r="K29" s="76">
        <v>219</v>
      </c>
      <c r="L29" s="16">
        <v>15</v>
      </c>
      <c r="M29" s="17">
        <f>F29*K29</f>
        <v>9.5659200000000014E-2</v>
      </c>
      <c r="N29" s="256"/>
    </row>
    <row r="30" spans="1:14" ht="15" customHeight="1" x14ac:dyDescent="0.25">
      <c r="A30" s="275"/>
      <c r="B30" s="81" t="s">
        <v>40</v>
      </c>
      <c r="C30" s="80">
        <v>20.34</v>
      </c>
      <c r="D30" s="67">
        <f t="shared" si="42"/>
        <v>2.0339999999999998E-3</v>
      </c>
      <c r="E30" s="68">
        <v>0.8</v>
      </c>
      <c r="F30" s="69">
        <f t="shared" si="43"/>
        <v>1.6271999999999999E-3</v>
      </c>
      <c r="G30" s="70">
        <v>170</v>
      </c>
      <c r="H30" s="70">
        <v>15</v>
      </c>
      <c r="I30" s="71">
        <f t="shared" si="44"/>
        <v>0.27662399999999998</v>
      </c>
      <c r="K30" s="74">
        <v>219</v>
      </c>
      <c r="L30" s="70">
        <v>15</v>
      </c>
      <c r="M30" s="71">
        <f t="shared" ref="M30:M32" si="45">F30*K30</f>
        <v>0.35635679999999997</v>
      </c>
      <c r="N30" s="256"/>
    </row>
    <row r="31" spans="1:14" ht="15" customHeight="1" x14ac:dyDescent="0.25">
      <c r="A31" s="275"/>
      <c r="B31" s="81" t="s">
        <v>39</v>
      </c>
      <c r="C31" s="80">
        <v>77.34</v>
      </c>
      <c r="D31" s="67">
        <f t="shared" si="42"/>
        <v>7.7340000000000004E-3</v>
      </c>
      <c r="E31" s="68">
        <v>0.6</v>
      </c>
      <c r="F31" s="69">
        <f t="shared" si="43"/>
        <v>4.6404000000000003E-3</v>
      </c>
      <c r="G31" s="70">
        <v>170</v>
      </c>
      <c r="H31" s="70">
        <v>15</v>
      </c>
      <c r="I31" s="71">
        <f t="shared" si="44"/>
        <v>0.78886800000000001</v>
      </c>
      <c r="K31" s="74">
        <v>219</v>
      </c>
      <c r="L31" s="70">
        <v>15</v>
      </c>
      <c r="M31" s="71">
        <f t="shared" si="45"/>
        <v>1.0162476</v>
      </c>
      <c r="N31" s="256"/>
    </row>
    <row r="32" spans="1:14" ht="15" customHeight="1" thickBot="1" x14ac:dyDescent="0.3">
      <c r="A32" s="274"/>
      <c r="B32" s="6" t="s">
        <v>36</v>
      </c>
      <c r="C32" s="7">
        <v>143.97999999999999</v>
      </c>
      <c r="D32" s="8">
        <f t="shared" si="42"/>
        <v>1.4397999999999999E-2</v>
      </c>
      <c r="E32" s="9">
        <v>0.8</v>
      </c>
      <c r="F32" s="10">
        <f t="shared" si="43"/>
        <v>1.15184E-2</v>
      </c>
      <c r="G32" s="11">
        <v>170</v>
      </c>
      <c r="H32" s="11">
        <v>15</v>
      </c>
      <c r="I32" s="12">
        <f t="shared" si="44"/>
        <v>1.9581279999999999</v>
      </c>
      <c r="K32" s="75">
        <v>219</v>
      </c>
      <c r="L32" s="11">
        <v>15</v>
      </c>
      <c r="M32" s="12">
        <f t="shared" si="45"/>
        <v>2.5225295999999999</v>
      </c>
      <c r="N32" s="256"/>
    </row>
    <row r="33" spans="1:20" ht="15" customHeight="1" x14ac:dyDescent="0.25">
      <c r="C33" s="77">
        <f>SUM(C29:C32)</f>
        <v>247.12</v>
      </c>
      <c r="D33" s="78">
        <f t="shared" ref="D33" si="46">SUM(D29:D32)</f>
        <v>2.4711999999999998E-2</v>
      </c>
      <c r="E33" s="77"/>
      <c r="F33" s="78">
        <f t="shared" ref="F33" si="47">SUM(F29:F32)</f>
        <v>1.8222800000000001E-2</v>
      </c>
      <c r="G33" s="77"/>
      <c r="H33" s="77"/>
      <c r="I33" s="60">
        <f t="shared" ref="I33" si="48">SUM(I29:I32)</f>
        <v>3.0978759999999999</v>
      </c>
      <c r="J33" s="77"/>
      <c r="K33" s="77"/>
      <c r="L33" s="77"/>
      <c r="M33" s="60">
        <f t="shared" ref="M33" si="49">SUM(M29:M32)</f>
        <v>3.9907931999999997</v>
      </c>
      <c r="N33" s="60"/>
    </row>
    <row r="34" spans="1:20" ht="15" customHeight="1" thickBot="1" x14ac:dyDescent="0.3"/>
    <row r="35" spans="1:20" ht="15" customHeight="1" x14ac:dyDescent="0.25">
      <c r="A35" s="273" t="s">
        <v>45</v>
      </c>
      <c r="B35" s="19" t="s">
        <v>38</v>
      </c>
      <c r="C35" s="18">
        <v>15.69</v>
      </c>
      <c r="D35" s="13">
        <f t="shared" ref="D35:D37" si="50">C35/10000</f>
        <v>1.5689999999999999E-3</v>
      </c>
      <c r="E35" s="14">
        <v>0.8</v>
      </c>
      <c r="F35" s="15">
        <f t="shared" ref="F35:F37" si="51">D35*E35</f>
        <v>1.2551999999999999E-3</v>
      </c>
      <c r="G35" s="16">
        <v>170</v>
      </c>
      <c r="H35" s="16">
        <v>15</v>
      </c>
      <c r="I35" s="17">
        <f t="shared" ref="I35:I37" si="52">F35*G35</f>
        <v>0.21338399999999999</v>
      </c>
      <c r="K35" s="76">
        <v>219</v>
      </c>
      <c r="L35" s="16">
        <v>15</v>
      </c>
      <c r="M35" s="17">
        <f>F35*K35</f>
        <v>0.27488879999999999</v>
      </c>
      <c r="N35" s="256"/>
      <c r="P35" s="60"/>
      <c r="R35" s="79"/>
      <c r="T35" s="79"/>
    </row>
    <row r="36" spans="1:20" ht="15" customHeight="1" x14ac:dyDescent="0.25">
      <c r="A36" s="275"/>
      <c r="B36" s="81" t="s">
        <v>39</v>
      </c>
      <c r="C36" s="80">
        <v>20.239999999999998</v>
      </c>
      <c r="D36" s="67">
        <f t="shared" si="50"/>
        <v>2.0239999999999998E-3</v>
      </c>
      <c r="E36" s="68">
        <v>0.6</v>
      </c>
      <c r="F36" s="69">
        <f t="shared" si="51"/>
        <v>1.2143999999999998E-3</v>
      </c>
      <c r="G36" s="70">
        <v>170</v>
      </c>
      <c r="H36" s="70">
        <v>15</v>
      </c>
      <c r="I36" s="71">
        <f t="shared" si="52"/>
        <v>0.20644799999999996</v>
      </c>
      <c r="K36" s="74">
        <v>219</v>
      </c>
      <c r="L36" s="70">
        <v>15</v>
      </c>
      <c r="M36" s="71">
        <f t="shared" ref="M36:M37" si="53">F36*K36</f>
        <v>0.26595359999999996</v>
      </c>
      <c r="N36" s="256"/>
    </row>
    <row r="37" spans="1:20" ht="15" customHeight="1" thickBot="1" x14ac:dyDescent="0.3">
      <c r="A37" s="274"/>
      <c r="B37" s="6" t="s">
        <v>36</v>
      </c>
      <c r="C37" s="7">
        <v>147.44</v>
      </c>
      <c r="D37" s="8">
        <f t="shared" si="50"/>
        <v>1.4744E-2</v>
      </c>
      <c r="E37" s="9">
        <v>0.8</v>
      </c>
      <c r="F37" s="10">
        <f t="shared" si="51"/>
        <v>1.17952E-2</v>
      </c>
      <c r="G37" s="11">
        <v>170</v>
      </c>
      <c r="H37" s="11">
        <v>15</v>
      </c>
      <c r="I37" s="12">
        <f t="shared" si="52"/>
        <v>2.0051840000000003</v>
      </c>
      <c r="K37" s="75">
        <v>219</v>
      </c>
      <c r="L37" s="11">
        <v>15</v>
      </c>
      <c r="M37" s="12">
        <f t="shared" si="53"/>
        <v>2.5831488</v>
      </c>
      <c r="N37" s="256"/>
    </row>
    <row r="38" spans="1:20" ht="15" customHeight="1" x14ac:dyDescent="0.25">
      <c r="C38" s="77">
        <f>SUM(C35:C37)</f>
        <v>183.37</v>
      </c>
      <c r="D38" s="78">
        <f>SUM(D35:D37)</f>
        <v>1.8336999999999999E-2</v>
      </c>
      <c r="E38" s="77"/>
      <c r="F38" s="78">
        <f>SUM(F35:F37)</f>
        <v>1.4264800000000001E-2</v>
      </c>
      <c r="G38" s="77"/>
      <c r="H38" s="77"/>
      <c r="I38" s="60">
        <f>SUM(I35:I37)</f>
        <v>2.4250160000000003</v>
      </c>
      <c r="J38" s="77"/>
      <c r="K38" s="77"/>
      <c r="L38" s="77"/>
      <c r="M38" s="60">
        <f>SUM(M35:M37)</f>
        <v>3.1239911999999999</v>
      </c>
      <c r="N38" s="60"/>
    </row>
    <row r="39" spans="1:20" ht="15" customHeight="1" x14ac:dyDescent="0.25">
      <c r="C39" s="77"/>
      <c r="D39" s="78"/>
      <c r="E39" s="77"/>
      <c r="F39" s="78"/>
      <c r="G39" s="77"/>
      <c r="H39" s="77"/>
      <c r="I39" s="60"/>
      <c r="J39" s="77"/>
      <c r="K39" s="77"/>
      <c r="L39" s="77"/>
      <c r="M39" s="60"/>
      <c r="N39" s="60"/>
    </row>
    <row r="40" spans="1:20" ht="15" customHeight="1" thickBot="1" x14ac:dyDescent="0.3"/>
    <row r="41" spans="1:20" ht="15" customHeight="1" x14ac:dyDescent="0.25">
      <c r="A41" s="273" t="s">
        <v>48</v>
      </c>
      <c r="B41" s="19" t="s">
        <v>38</v>
      </c>
      <c r="C41" s="18">
        <v>1.23</v>
      </c>
      <c r="D41" s="13">
        <f t="shared" ref="D41:D44" si="54">C41/10000</f>
        <v>1.2300000000000001E-4</v>
      </c>
      <c r="E41" s="14">
        <v>0.8</v>
      </c>
      <c r="F41" s="15">
        <f t="shared" ref="F41:F44" si="55">D41*E41</f>
        <v>9.8400000000000007E-5</v>
      </c>
      <c r="G41" s="16">
        <v>170</v>
      </c>
      <c r="H41" s="16">
        <v>15</v>
      </c>
      <c r="I41" s="17">
        <f t="shared" ref="I41:I44" si="56">F41*G41</f>
        <v>1.6728E-2</v>
      </c>
      <c r="K41" s="76">
        <v>219</v>
      </c>
      <c r="L41" s="16">
        <v>15</v>
      </c>
      <c r="M41" s="17">
        <f>F41*K41</f>
        <v>2.1549600000000002E-2</v>
      </c>
      <c r="N41" s="256"/>
    </row>
    <row r="42" spans="1:20" ht="15" customHeight="1" x14ac:dyDescent="0.25">
      <c r="A42" s="275"/>
      <c r="B42" s="81" t="s">
        <v>40</v>
      </c>
      <c r="C42" s="80">
        <v>13.79</v>
      </c>
      <c r="D42" s="67">
        <f t="shared" si="54"/>
        <v>1.379E-3</v>
      </c>
      <c r="E42" s="68">
        <v>0.8</v>
      </c>
      <c r="F42" s="69">
        <f t="shared" si="55"/>
        <v>1.1032000000000001E-3</v>
      </c>
      <c r="G42" s="70">
        <v>170</v>
      </c>
      <c r="H42" s="70">
        <v>15</v>
      </c>
      <c r="I42" s="71">
        <f t="shared" si="56"/>
        <v>0.18754400000000002</v>
      </c>
      <c r="K42" s="74">
        <v>219</v>
      </c>
      <c r="L42" s="70">
        <v>15</v>
      </c>
      <c r="M42" s="71">
        <f t="shared" ref="M42:M44" si="57">F42*K42</f>
        <v>0.24160080000000003</v>
      </c>
      <c r="N42" s="256"/>
    </row>
    <row r="43" spans="1:20" ht="15" customHeight="1" x14ac:dyDescent="0.25">
      <c r="A43" s="275"/>
      <c r="B43" s="81" t="s">
        <v>39</v>
      </c>
      <c r="C43" s="80">
        <v>27.1</v>
      </c>
      <c r="D43" s="67">
        <f t="shared" si="54"/>
        <v>2.7100000000000002E-3</v>
      </c>
      <c r="E43" s="68">
        <v>0.6</v>
      </c>
      <c r="F43" s="69">
        <f t="shared" si="55"/>
        <v>1.6260000000000001E-3</v>
      </c>
      <c r="G43" s="70">
        <v>170</v>
      </c>
      <c r="H43" s="70">
        <v>15</v>
      </c>
      <c r="I43" s="71">
        <f t="shared" si="56"/>
        <v>0.27642</v>
      </c>
      <c r="K43" s="74">
        <v>219</v>
      </c>
      <c r="L43" s="70">
        <v>15</v>
      </c>
      <c r="M43" s="71">
        <f t="shared" si="57"/>
        <v>0.35609400000000002</v>
      </c>
      <c r="N43" s="256"/>
    </row>
    <row r="44" spans="1:20" ht="15" customHeight="1" thickBot="1" x14ac:dyDescent="0.3">
      <c r="A44" s="274"/>
      <c r="B44" s="6" t="s">
        <v>36</v>
      </c>
      <c r="C44" s="7">
        <v>92.07</v>
      </c>
      <c r="D44" s="8">
        <f t="shared" si="54"/>
        <v>9.2069999999999999E-3</v>
      </c>
      <c r="E44" s="9">
        <v>0.8</v>
      </c>
      <c r="F44" s="10">
        <f t="shared" si="55"/>
        <v>7.3655999999999999E-3</v>
      </c>
      <c r="G44" s="11">
        <v>170</v>
      </c>
      <c r="H44" s="11">
        <v>15</v>
      </c>
      <c r="I44" s="12">
        <f t="shared" si="56"/>
        <v>1.2521519999999999</v>
      </c>
      <c r="K44" s="75">
        <v>219</v>
      </c>
      <c r="L44" s="11">
        <v>15</v>
      </c>
      <c r="M44" s="12">
        <f t="shared" si="57"/>
        <v>1.6130663999999999</v>
      </c>
      <c r="N44" s="256"/>
    </row>
    <row r="45" spans="1:20" ht="15" customHeight="1" thickBot="1" x14ac:dyDescent="0.3">
      <c r="C45" s="77">
        <f>SUM(C41:C44)</f>
        <v>134.19</v>
      </c>
      <c r="D45" s="78">
        <f t="shared" ref="D45" si="58">SUM(D41:D44)</f>
        <v>1.3419E-2</v>
      </c>
      <c r="E45" s="77"/>
      <c r="F45" s="78">
        <f t="shared" ref="F45" si="59">SUM(F41:F44)</f>
        <v>1.0193199999999999E-2</v>
      </c>
      <c r="G45" s="77"/>
      <c r="H45" s="77"/>
      <c r="I45" s="60">
        <f t="shared" ref="I45" si="60">SUM(I41:I44)</f>
        <v>1.7328440000000001</v>
      </c>
      <c r="J45" s="77"/>
      <c r="K45" s="77"/>
      <c r="L45" s="77"/>
      <c r="M45" s="60">
        <f t="shared" ref="M45" si="61">SUM(M41:M44)</f>
        <v>2.2323108</v>
      </c>
      <c r="N45" s="60"/>
    </row>
    <row r="46" spans="1:20" ht="15" customHeight="1" thickBot="1" x14ac:dyDescent="0.3"/>
    <row r="47" spans="1:20" ht="15" customHeight="1" x14ac:dyDescent="0.25">
      <c r="A47" s="273" t="s">
        <v>49</v>
      </c>
      <c r="B47" s="19" t="s">
        <v>38</v>
      </c>
      <c r="C47" s="18">
        <v>23.5</v>
      </c>
      <c r="D47" s="13">
        <f t="shared" ref="D47" si="62">C47/10000</f>
        <v>2.3500000000000001E-3</v>
      </c>
      <c r="E47" s="14">
        <v>0.8</v>
      </c>
      <c r="F47" s="15">
        <f t="shared" ref="F47" si="63">D47*E47</f>
        <v>1.8800000000000002E-3</v>
      </c>
      <c r="G47" s="16">
        <v>170</v>
      </c>
      <c r="H47" s="16">
        <v>15</v>
      </c>
      <c r="I47" s="17">
        <f t="shared" ref="I47" si="64">F47*G47</f>
        <v>0.31960000000000005</v>
      </c>
      <c r="K47" s="76">
        <v>219</v>
      </c>
      <c r="L47" s="16">
        <v>15</v>
      </c>
      <c r="M47" s="17">
        <f>F47*K47</f>
        <v>0.41172000000000003</v>
      </c>
      <c r="N47" s="256"/>
    </row>
    <row r="48" spans="1:20" ht="15" customHeight="1" thickBot="1" x14ac:dyDescent="0.3">
      <c r="A48" s="274"/>
      <c r="B48" s="6" t="s">
        <v>39</v>
      </c>
      <c r="C48" s="7">
        <v>119.72</v>
      </c>
      <c r="D48" s="8">
        <f t="shared" ref="D48" si="65">C48/10000</f>
        <v>1.1972E-2</v>
      </c>
      <c r="E48" s="9">
        <v>0.6</v>
      </c>
      <c r="F48" s="10">
        <f t="shared" ref="F48" si="66">D48*E48</f>
        <v>7.1831999999999998E-3</v>
      </c>
      <c r="G48" s="11">
        <v>170</v>
      </c>
      <c r="H48" s="11">
        <v>15</v>
      </c>
      <c r="I48" s="12">
        <f t="shared" ref="I48" si="67">F48*G48</f>
        <v>1.221144</v>
      </c>
      <c r="K48" s="75">
        <v>219</v>
      </c>
      <c r="L48" s="11">
        <v>15</v>
      </c>
      <c r="M48" s="12">
        <f t="shared" ref="M48" si="68">F48*K48</f>
        <v>1.5731207999999999</v>
      </c>
      <c r="N48" s="256"/>
    </row>
    <row r="49" spans="1:20" ht="15" customHeight="1" x14ac:dyDescent="0.25">
      <c r="C49" s="77">
        <f>SUM(C46:C48)</f>
        <v>143.22</v>
      </c>
      <c r="D49" s="78">
        <f>SUM(D46:D48)</f>
        <v>1.4322E-2</v>
      </c>
      <c r="E49" s="77"/>
      <c r="F49" s="78">
        <f>SUM(F46:F48)</f>
        <v>9.0632000000000004E-3</v>
      </c>
      <c r="G49" s="77"/>
      <c r="H49" s="77"/>
      <c r="I49" s="60">
        <f>SUM(I46:I48)</f>
        <v>1.5407440000000001</v>
      </c>
      <c r="J49" s="77"/>
      <c r="K49" s="77"/>
      <c r="L49" s="77"/>
      <c r="M49" s="60">
        <f>SUM(M46:M48)</f>
        <v>1.9848408</v>
      </c>
      <c r="N49" s="60"/>
    </row>
    <row r="50" spans="1:20" ht="15" customHeight="1" thickBot="1" x14ac:dyDescent="0.3"/>
    <row r="51" spans="1:20" ht="15" customHeight="1" x14ac:dyDescent="0.25">
      <c r="A51" s="273" t="s">
        <v>50</v>
      </c>
      <c r="B51" s="19" t="s">
        <v>38</v>
      </c>
      <c r="C51" s="18">
        <v>8.18</v>
      </c>
      <c r="D51" s="13">
        <f t="shared" ref="D51:D53" si="69">C51/10000</f>
        <v>8.1799999999999993E-4</v>
      </c>
      <c r="E51" s="14">
        <v>0.8</v>
      </c>
      <c r="F51" s="15">
        <f t="shared" ref="F51:F53" si="70">D51*E51</f>
        <v>6.5439999999999997E-4</v>
      </c>
      <c r="G51" s="16">
        <v>170</v>
      </c>
      <c r="H51" s="16">
        <v>15</v>
      </c>
      <c r="I51" s="17">
        <f t="shared" ref="I51:I53" si="71">F51*G51</f>
        <v>0.111248</v>
      </c>
      <c r="K51" s="76">
        <v>219</v>
      </c>
      <c r="L51" s="16">
        <v>15</v>
      </c>
      <c r="M51" s="17">
        <f>F51*K51</f>
        <v>0.14331359999999999</v>
      </c>
      <c r="N51" s="256"/>
      <c r="P51" s="60"/>
      <c r="R51" s="79"/>
      <c r="T51" s="79"/>
    </row>
    <row r="52" spans="1:20" ht="15" customHeight="1" x14ac:dyDescent="0.25">
      <c r="A52" s="275"/>
      <c r="B52" s="81" t="s">
        <v>39</v>
      </c>
      <c r="C52" s="80">
        <v>78.45</v>
      </c>
      <c r="D52" s="67">
        <f t="shared" si="69"/>
        <v>7.8449999999999995E-3</v>
      </c>
      <c r="E52" s="68">
        <v>0.6</v>
      </c>
      <c r="F52" s="69">
        <f t="shared" si="70"/>
        <v>4.7069999999999994E-3</v>
      </c>
      <c r="G52" s="70">
        <v>170</v>
      </c>
      <c r="H52" s="70">
        <v>15</v>
      </c>
      <c r="I52" s="71">
        <f t="shared" si="71"/>
        <v>0.80018999999999985</v>
      </c>
      <c r="K52" s="74">
        <v>219</v>
      </c>
      <c r="L52" s="70">
        <v>15</v>
      </c>
      <c r="M52" s="71">
        <f t="shared" ref="M52:M53" si="72">F52*K52</f>
        <v>1.0308329999999999</v>
      </c>
      <c r="N52" s="256"/>
    </row>
    <row r="53" spans="1:20" ht="15" customHeight="1" thickBot="1" x14ac:dyDescent="0.3">
      <c r="A53" s="274"/>
      <c r="B53" s="6" t="s">
        <v>36</v>
      </c>
      <c r="C53" s="7">
        <v>144.85</v>
      </c>
      <c r="D53" s="8">
        <f t="shared" si="69"/>
        <v>1.4485E-2</v>
      </c>
      <c r="E53" s="9">
        <v>0.8</v>
      </c>
      <c r="F53" s="10">
        <f t="shared" si="70"/>
        <v>1.1588000000000001E-2</v>
      </c>
      <c r="G53" s="11">
        <v>170</v>
      </c>
      <c r="H53" s="11">
        <v>15</v>
      </c>
      <c r="I53" s="12">
        <f t="shared" si="71"/>
        <v>1.9699600000000002</v>
      </c>
      <c r="K53" s="75">
        <v>219</v>
      </c>
      <c r="L53" s="11">
        <v>15</v>
      </c>
      <c r="M53" s="12">
        <f t="shared" si="72"/>
        <v>2.5377720000000004</v>
      </c>
      <c r="N53" s="256"/>
    </row>
    <row r="54" spans="1:20" ht="15" customHeight="1" x14ac:dyDescent="0.25">
      <c r="C54" s="77">
        <f>SUM(C51:C53)</f>
        <v>231.48</v>
      </c>
      <c r="D54" s="78">
        <f>SUM(D51:D53)</f>
        <v>2.3147999999999998E-2</v>
      </c>
      <c r="E54" s="77"/>
      <c r="F54" s="78">
        <f>SUM(F51:F53)</f>
        <v>1.69494E-2</v>
      </c>
      <c r="G54" s="77"/>
      <c r="H54" s="77"/>
      <c r="I54" s="60">
        <f>SUM(I51:I53)</f>
        <v>2.8813979999999999</v>
      </c>
      <c r="J54" s="77"/>
      <c r="K54" s="77"/>
      <c r="L54" s="77"/>
      <c r="M54" s="60">
        <f>SUM(M51:M53)</f>
        <v>3.7119186000000002</v>
      </c>
      <c r="N54" s="60"/>
    </row>
    <row r="55" spans="1:20" ht="15" customHeight="1" thickBot="1" x14ac:dyDescent="0.3"/>
    <row r="56" spans="1:20" ht="15" customHeight="1" x14ac:dyDescent="0.25">
      <c r="A56" s="270" t="s">
        <v>52</v>
      </c>
      <c r="B56" s="19" t="s">
        <v>38</v>
      </c>
      <c r="C56" s="18">
        <v>3.78</v>
      </c>
      <c r="D56" s="13">
        <f t="shared" ref="D56:D60" si="73">C56/10000</f>
        <v>3.7799999999999997E-4</v>
      </c>
      <c r="E56" s="14">
        <v>0.8</v>
      </c>
      <c r="F56" s="15">
        <f t="shared" ref="F56:F60" si="74">D56*E56</f>
        <v>3.0239999999999998E-4</v>
      </c>
      <c r="G56" s="16">
        <v>170</v>
      </c>
      <c r="H56" s="16">
        <v>15</v>
      </c>
      <c r="I56" s="17">
        <f t="shared" ref="I56:I60" si="75">F56*G56</f>
        <v>5.1407999999999995E-2</v>
      </c>
      <c r="K56" s="76">
        <v>219</v>
      </c>
      <c r="L56" s="16">
        <v>15</v>
      </c>
      <c r="M56" s="17">
        <f>F56*K56</f>
        <v>6.6225599999999996E-2</v>
      </c>
      <c r="N56" s="256"/>
    </row>
    <row r="57" spans="1:20" ht="15" customHeight="1" x14ac:dyDescent="0.25">
      <c r="A57" s="271"/>
      <c r="B57" s="81" t="s">
        <v>51</v>
      </c>
      <c r="C57" s="80">
        <v>1.44</v>
      </c>
      <c r="D57" s="67">
        <f t="shared" si="73"/>
        <v>1.44E-4</v>
      </c>
      <c r="E57" s="68">
        <v>0.6</v>
      </c>
      <c r="F57" s="69">
        <f t="shared" si="74"/>
        <v>8.6399999999999999E-5</v>
      </c>
      <c r="G57" s="70">
        <v>170</v>
      </c>
      <c r="H57" s="70">
        <v>15</v>
      </c>
      <c r="I57" s="71">
        <f t="shared" si="75"/>
        <v>1.4688E-2</v>
      </c>
      <c r="K57" s="74">
        <v>219</v>
      </c>
      <c r="L57" s="70">
        <v>15</v>
      </c>
      <c r="M57" s="71">
        <f t="shared" ref="M57:M60" si="76">F57*K57</f>
        <v>1.89216E-2</v>
      </c>
      <c r="N57" s="256"/>
    </row>
    <row r="58" spans="1:20" ht="15" customHeight="1" x14ac:dyDescent="0.25">
      <c r="A58" s="271"/>
      <c r="B58" s="81" t="s">
        <v>40</v>
      </c>
      <c r="C58" s="80">
        <v>4.24</v>
      </c>
      <c r="D58" s="67">
        <f t="shared" ref="D58" si="77">C58/10000</f>
        <v>4.2400000000000001E-4</v>
      </c>
      <c r="E58" s="68">
        <v>0.8</v>
      </c>
      <c r="F58" s="69">
        <f t="shared" ref="F58" si="78">D58*E58</f>
        <v>3.392E-4</v>
      </c>
      <c r="G58" s="70">
        <v>170</v>
      </c>
      <c r="H58" s="70">
        <v>15</v>
      </c>
      <c r="I58" s="71">
        <f t="shared" ref="I58" si="79">F58*G58</f>
        <v>5.7664E-2</v>
      </c>
      <c r="K58" s="74">
        <v>219</v>
      </c>
      <c r="L58" s="70">
        <v>15</v>
      </c>
      <c r="M58" s="71">
        <f t="shared" ref="M58" si="80">F58*K58</f>
        <v>7.4284799999999998E-2</v>
      </c>
      <c r="N58" s="256"/>
    </row>
    <row r="59" spans="1:20" ht="15" customHeight="1" x14ac:dyDescent="0.25">
      <c r="A59" s="271"/>
      <c r="B59" s="81" t="s">
        <v>39</v>
      </c>
      <c r="C59" s="80">
        <v>25.93</v>
      </c>
      <c r="D59" s="67">
        <f t="shared" si="73"/>
        <v>2.5929999999999998E-3</v>
      </c>
      <c r="E59" s="68">
        <v>0.6</v>
      </c>
      <c r="F59" s="69">
        <f t="shared" si="74"/>
        <v>1.5557999999999998E-3</v>
      </c>
      <c r="G59" s="70">
        <v>170</v>
      </c>
      <c r="H59" s="70">
        <v>15</v>
      </c>
      <c r="I59" s="71">
        <f t="shared" si="75"/>
        <v>0.26448599999999994</v>
      </c>
      <c r="K59" s="74">
        <v>219</v>
      </c>
      <c r="L59" s="70">
        <v>15</v>
      </c>
      <c r="M59" s="71">
        <f t="shared" si="76"/>
        <v>0.34072019999999997</v>
      </c>
      <c r="N59" s="256"/>
    </row>
    <row r="60" spans="1:20" ht="15" customHeight="1" thickBot="1" x14ac:dyDescent="0.3">
      <c r="A60" s="272"/>
      <c r="B60" s="6" t="s">
        <v>36</v>
      </c>
      <c r="C60" s="7">
        <v>88.65</v>
      </c>
      <c r="D60" s="8">
        <f t="shared" si="73"/>
        <v>8.8650000000000014E-3</v>
      </c>
      <c r="E60" s="9">
        <v>0.8</v>
      </c>
      <c r="F60" s="10">
        <f t="shared" si="74"/>
        <v>7.0920000000000011E-3</v>
      </c>
      <c r="G60" s="11">
        <v>170</v>
      </c>
      <c r="H60" s="11">
        <v>15</v>
      </c>
      <c r="I60" s="12">
        <f t="shared" si="75"/>
        <v>1.2056400000000003</v>
      </c>
      <c r="K60" s="75">
        <v>219</v>
      </c>
      <c r="L60" s="11">
        <v>15</v>
      </c>
      <c r="M60" s="12">
        <f t="shared" si="76"/>
        <v>1.5531480000000002</v>
      </c>
      <c r="N60" s="256"/>
    </row>
    <row r="61" spans="1:20" ht="15" customHeight="1" x14ac:dyDescent="0.25">
      <c r="C61" s="77">
        <f>SUM(C56:C60)</f>
        <v>124.04</v>
      </c>
      <c r="D61" s="78">
        <f t="shared" ref="D61" si="81">SUM(D56:D60)</f>
        <v>1.2404000000000002E-2</v>
      </c>
      <c r="E61" s="77"/>
      <c r="F61" s="78">
        <f t="shared" ref="F61" si="82">SUM(F56:F60)</f>
        <v>9.3758000000000001E-3</v>
      </c>
      <c r="G61" s="77"/>
      <c r="H61" s="77"/>
      <c r="I61" s="60">
        <f t="shared" ref="I61" si="83">SUM(I56:I60)</f>
        <v>1.5938860000000001</v>
      </c>
      <c r="J61" s="77"/>
      <c r="K61" s="77"/>
      <c r="L61" s="77"/>
      <c r="M61" s="60">
        <f t="shared" ref="M61" si="84">SUM(M56:M60)</f>
        <v>2.0533002000000002</v>
      </c>
      <c r="N61" s="60"/>
    </row>
    <row r="62" spans="1:20" ht="15" customHeight="1" thickBot="1" x14ac:dyDescent="0.3"/>
    <row r="63" spans="1:20" ht="15" customHeight="1" x14ac:dyDescent="0.25">
      <c r="A63" s="270" t="s">
        <v>53</v>
      </c>
      <c r="B63" s="19" t="s">
        <v>38</v>
      </c>
      <c r="C63" s="18">
        <v>18.3</v>
      </c>
      <c r="D63" s="13">
        <f t="shared" ref="D63:D67" si="85">C63/10000</f>
        <v>1.83E-3</v>
      </c>
      <c r="E63" s="14">
        <v>0.8</v>
      </c>
      <c r="F63" s="15">
        <f t="shared" ref="F63:F67" si="86">D63*E63</f>
        <v>1.464E-3</v>
      </c>
      <c r="G63" s="16">
        <v>170</v>
      </c>
      <c r="H63" s="16">
        <v>15</v>
      </c>
      <c r="I63" s="17">
        <f t="shared" ref="I63:I67" si="87">F63*G63</f>
        <v>0.24887999999999999</v>
      </c>
      <c r="K63" s="76">
        <v>219</v>
      </c>
      <c r="L63" s="16">
        <v>15</v>
      </c>
      <c r="M63" s="17">
        <f>F63*K63</f>
        <v>0.32061600000000001</v>
      </c>
      <c r="N63" s="256"/>
    </row>
    <row r="64" spans="1:20" ht="15" customHeight="1" x14ac:dyDescent="0.25">
      <c r="A64" s="271"/>
      <c r="B64" s="81" t="s">
        <v>51</v>
      </c>
      <c r="C64" s="80">
        <v>5.97</v>
      </c>
      <c r="D64" s="67">
        <f t="shared" si="85"/>
        <v>5.9699999999999998E-4</v>
      </c>
      <c r="E64" s="68">
        <v>0.6</v>
      </c>
      <c r="F64" s="69">
        <f t="shared" si="86"/>
        <v>3.5819999999999998E-4</v>
      </c>
      <c r="G64" s="70">
        <v>170</v>
      </c>
      <c r="H64" s="70">
        <v>15</v>
      </c>
      <c r="I64" s="71">
        <f t="shared" si="87"/>
        <v>6.0893999999999997E-2</v>
      </c>
      <c r="K64" s="74">
        <v>219</v>
      </c>
      <c r="L64" s="70">
        <v>15</v>
      </c>
      <c r="M64" s="71">
        <f t="shared" ref="M64:M67" si="88">F64*K64</f>
        <v>7.8445799999999996E-2</v>
      </c>
      <c r="N64" s="256"/>
    </row>
    <row r="65" spans="1:14" ht="15" customHeight="1" x14ac:dyDescent="0.25">
      <c r="A65" s="271"/>
      <c r="B65" s="81" t="s">
        <v>40</v>
      </c>
      <c r="C65" s="80">
        <v>4.26</v>
      </c>
      <c r="D65" s="67">
        <f t="shared" si="85"/>
        <v>4.26E-4</v>
      </c>
      <c r="E65" s="68">
        <v>0.8</v>
      </c>
      <c r="F65" s="69">
        <f t="shared" si="86"/>
        <v>3.4080000000000004E-4</v>
      </c>
      <c r="G65" s="70">
        <v>170</v>
      </c>
      <c r="H65" s="70">
        <v>15</v>
      </c>
      <c r="I65" s="71">
        <f t="shared" si="87"/>
        <v>5.7936000000000008E-2</v>
      </c>
      <c r="K65" s="74">
        <v>219</v>
      </c>
      <c r="L65" s="70">
        <v>15</v>
      </c>
      <c r="M65" s="71">
        <f t="shared" si="88"/>
        <v>7.4635200000000013E-2</v>
      </c>
      <c r="N65" s="256"/>
    </row>
    <row r="66" spans="1:14" ht="15" customHeight="1" x14ac:dyDescent="0.25">
      <c r="A66" s="271"/>
      <c r="B66" s="81" t="s">
        <v>39</v>
      </c>
      <c r="C66" s="80">
        <v>98.54</v>
      </c>
      <c r="D66" s="67">
        <f t="shared" si="85"/>
        <v>9.8539999999999999E-3</v>
      </c>
      <c r="E66" s="68">
        <v>0.6</v>
      </c>
      <c r="F66" s="69">
        <f t="shared" si="86"/>
        <v>5.9123999999999999E-3</v>
      </c>
      <c r="G66" s="70">
        <v>170</v>
      </c>
      <c r="H66" s="70">
        <v>15</v>
      </c>
      <c r="I66" s="71">
        <f t="shared" si="87"/>
        <v>1.0051079999999999</v>
      </c>
      <c r="K66" s="74">
        <v>219</v>
      </c>
      <c r="L66" s="70">
        <v>15</v>
      </c>
      <c r="M66" s="71">
        <f t="shared" si="88"/>
        <v>1.2948156</v>
      </c>
      <c r="N66" s="256"/>
    </row>
    <row r="67" spans="1:14" ht="15" customHeight="1" thickBot="1" x14ac:dyDescent="0.3">
      <c r="A67" s="272"/>
      <c r="B67" s="6" t="s">
        <v>36</v>
      </c>
      <c r="C67" s="7">
        <v>203.85</v>
      </c>
      <c r="D67" s="8">
        <f t="shared" si="85"/>
        <v>2.0385E-2</v>
      </c>
      <c r="E67" s="9">
        <v>0.8</v>
      </c>
      <c r="F67" s="10">
        <f t="shared" si="86"/>
        <v>1.6308E-2</v>
      </c>
      <c r="G67" s="11">
        <v>170</v>
      </c>
      <c r="H67" s="11">
        <v>15</v>
      </c>
      <c r="I67" s="12">
        <f t="shared" si="87"/>
        <v>2.7723599999999999</v>
      </c>
      <c r="K67" s="75">
        <v>219</v>
      </c>
      <c r="L67" s="11">
        <v>15</v>
      </c>
      <c r="M67" s="12">
        <f t="shared" si="88"/>
        <v>3.5714519999999998</v>
      </c>
      <c r="N67" s="256"/>
    </row>
    <row r="68" spans="1:14" ht="15" customHeight="1" x14ac:dyDescent="0.25">
      <c r="C68" s="77">
        <f>SUM(C63:C67)</f>
        <v>330.92</v>
      </c>
      <c r="D68" s="78">
        <f t="shared" ref="D68" si="89">SUM(D63:D67)</f>
        <v>3.3091999999999996E-2</v>
      </c>
      <c r="E68" s="77"/>
      <c r="F68" s="78">
        <f t="shared" ref="F68" si="90">SUM(F63:F67)</f>
        <v>2.43834E-2</v>
      </c>
      <c r="G68" s="77"/>
      <c r="H68" s="77"/>
      <c r="I68" s="60">
        <f t="shared" ref="I68" si="91">SUM(I63:I67)</f>
        <v>4.1451779999999996</v>
      </c>
      <c r="J68" s="77"/>
      <c r="K68" s="77"/>
      <c r="L68" s="77"/>
      <c r="M68" s="60">
        <f t="shared" ref="M68" si="92">SUM(M63:M67)</f>
        <v>5.3399646000000001</v>
      </c>
      <c r="N68" s="60"/>
    </row>
    <row r="69" spans="1:14" ht="15" customHeight="1" thickBot="1" x14ac:dyDescent="0.3"/>
    <row r="70" spans="1:14" ht="15" customHeight="1" thickBot="1" x14ac:dyDescent="0.3">
      <c r="A70" s="82" t="s">
        <v>54</v>
      </c>
      <c r="B70" s="20" t="s">
        <v>39</v>
      </c>
      <c r="C70" s="21">
        <v>84.13</v>
      </c>
      <c r="D70" s="22">
        <f t="shared" ref="D70" si="93">C70/10000</f>
        <v>8.4130000000000003E-3</v>
      </c>
      <c r="E70" s="83">
        <v>0.6</v>
      </c>
      <c r="F70" s="84">
        <f t="shared" ref="F70" si="94">D70*E70</f>
        <v>5.0477999999999999E-3</v>
      </c>
      <c r="G70" s="23">
        <v>170</v>
      </c>
      <c r="H70" s="23">
        <v>15</v>
      </c>
      <c r="I70" s="24">
        <f t="shared" ref="I70" si="95">F70*G70</f>
        <v>0.85812599999999994</v>
      </c>
      <c r="K70" s="85">
        <v>219</v>
      </c>
      <c r="L70" s="23">
        <v>15</v>
      </c>
      <c r="M70" s="24">
        <f t="shared" ref="M70" si="96">F70*K70</f>
        <v>1.1054682</v>
      </c>
      <c r="N70" s="256"/>
    </row>
    <row r="71" spans="1:14" ht="15" customHeight="1" x14ac:dyDescent="0.25">
      <c r="A71" s="41"/>
      <c r="C71" s="77">
        <f>SUM(C69:C70)</f>
        <v>84.13</v>
      </c>
      <c r="D71" s="78">
        <f>SUM(D69:D70)</f>
        <v>8.4130000000000003E-3</v>
      </c>
      <c r="E71" s="77"/>
      <c r="F71" s="78">
        <f>SUM(F69:F70)</f>
        <v>5.0477999999999999E-3</v>
      </c>
      <c r="G71" s="77"/>
      <c r="H71" s="77"/>
      <c r="I71" s="60">
        <f>SUM(I69:I70)</f>
        <v>0.85812599999999994</v>
      </c>
      <c r="J71" s="77"/>
      <c r="K71" s="77"/>
      <c r="L71" s="77"/>
      <c r="M71" s="60">
        <f>SUM(M69:M70)</f>
        <v>1.1054682</v>
      </c>
      <c r="N71" s="60"/>
    </row>
    <row r="72" spans="1:14" ht="15" customHeight="1" thickBot="1" x14ac:dyDescent="0.3">
      <c r="A72" s="41"/>
    </row>
    <row r="73" spans="1:14" ht="15" customHeight="1" x14ac:dyDescent="0.25">
      <c r="A73" s="270" t="s">
        <v>55</v>
      </c>
      <c r="B73" s="19" t="s">
        <v>38</v>
      </c>
      <c r="C73" s="18">
        <v>28.61</v>
      </c>
      <c r="D73" s="13">
        <f t="shared" ref="D73:D76" si="97">C73/10000</f>
        <v>2.8609999999999998E-3</v>
      </c>
      <c r="E73" s="14">
        <v>0.8</v>
      </c>
      <c r="F73" s="15">
        <f t="shared" ref="F73:F76" si="98">D73*E73</f>
        <v>2.2888000000000001E-3</v>
      </c>
      <c r="G73" s="16">
        <v>170</v>
      </c>
      <c r="H73" s="16">
        <v>15</v>
      </c>
      <c r="I73" s="17">
        <f t="shared" ref="I73:I76" si="99">F73*G73</f>
        <v>0.389096</v>
      </c>
      <c r="K73" s="76">
        <v>219</v>
      </c>
      <c r="L73" s="16">
        <v>15</v>
      </c>
      <c r="M73" s="17">
        <f>F73*K73</f>
        <v>0.5012472</v>
      </c>
      <c r="N73" s="256"/>
    </row>
    <row r="74" spans="1:14" ht="15" customHeight="1" x14ac:dyDescent="0.25">
      <c r="A74" s="271"/>
      <c r="B74" s="81" t="s">
        <v>51</v>
      </c>
      <c r="C74" s="80">
        <v>7.54</v>
      </c>
      <c r="D74" s="67">
        <f t="shared" si="97"/>
        <v>7.54E-4</v>
      </c>
      <c r="E74" s="68">
        <v>0.6</v>
      </c>
      <c r="F74" s="69">
        <f t="shared" si="98"/>
        <v>4.5239999999999999E-4</v>
      </c>
      <c r="G74" s="70">
        <v>170</v>
      </c>
      <c r="H74" s="70">
        <v>15</v>
      </c>
      <c r="I74" s="71">
        <f t="shared" si="99"/>
        <v>7.6908000000000004E-2</v>
      </c>
      <c r="K74" s="74">
        <v>219</v>
      </c>
      <c r="L74" s="70">
        <v>15</v>
      </c>
      <c r="M74" s="71">
        <f t="shared" ref="M74:M76" si="100">F74*K74</f>
        <v>9.90756E-2</v>
      </c>
      <c r="N74" s="256"/>
    </row>
    <row r="75" spans="1:14" ht="15" customHeight="1" x14ac:dyDescent="0.25">
      <c r="A75" s="271"/>
      <c r="B75" s="81" t="s">
        <v>39</v>
      </c>
      <c r="C75" s="80">
        <v>4.42</v>
      </c>
      <c r="D75" s="67">
        <f t="shared" si="97"/>
        <v>4.4200000000000001E-4</v>
      </c>
      <c r="E75" s="68">
        <v>0.6</v>
      </c>
      <c r="F75" s="69">
        <f t="shared" si="98"/>
        <v>2.652E-4</v>
      </c>
      <c r="G75" s="70">
        <v>170</v>
      </c>
      <c r="H75" s="70">
        <v>15</v>
      </c>
      <c r="I75" s="71">
        <f t="shared" si="99"/>
        <v>4.5083999999999999E-2</v>
      </c>
      <c r="K75" s="74">
        <v>219</v>
      </c>
      <c r="L75" s="70">
        <v>15</v>
      </c>
      <c r="M75" s="71">
        <f t="shared" si="100"/>
        <v>5.80788E-2</v>
      </c>
      <c r="N75" s="256"/>
    </row>
    <row r="76" spans="1:14" ht="15" customHeight="1" thickBot="1" x14ac:dyDescent="0.3">
      <c r="A76" s="272"/>
      <c r="B76" s="6" t="s">
        <v>36</v>
      </c>
      <c r="C76" s="7">
        <v>199.25</v>
      </c>
      <c r="D76" s="8">
        <f t="shared" si="97"/>
        <v>1.9924999999999998E-2</v>
      </c>
      <c r="E76" s="9">
        <v>0.8</v>
      </c>
      <c r="F76" s="10">
        <f t="shared" si="98"/>
        <v>1.5939999999999999E-2</v>
      </c>
      <c r="G76" s="11">
        <v>170</v>
      </c>
      <c r="H76" s="11">
        <v>15</v>
      </c>
      <c r="I76" s="12">
        <f t="shared" si="99"/>
        <v>2.7098</v>
      </c>
      <c r="K76" s="75">
        <v>219</v>
      </c>
      <c r="L76" s="11">
        <v>15</v>
      </c>
      <c r="M76" s="12">
        <f t="shared" si="100"/>
        <v>3.4908599999999996</v>
      </c>
      <c r="N76" s="256"/>
    </row>
    <row r="77" spans="1:14" ht="15" customHeight="1" x14ac:dyDescent="0.25">
      <c r="C77" s="77">
        <f>SUM(C73:C76)</f>
        <v>239.82</v>
      </c>
      <c r="D77" s="78">
        <f>SUM(D73:D76)</f>
        <v>2.3981999999999996E-2</v>
      </c>
      <c r="E77" s="77"/>
      <c r="F77" s="78">
        <f>SUM(F73:F76)</f>
        <v>1.8946399999999999E-2</v>
      </c>
      <c r="G77" s="77"/>
      <c r="H77" s="77"/>
      <c r="I77" s="60">
        <f>SUM(I73:I76)</f>
        <v>3.220888</v>
      </c>
      <c r="J77" s="77"/>
      <c r="K77" s="77"/>
      <c r="L77" s="77"/>
      <c r="M77" s="60">
        <f>SUM(M73:M76)</f>
        <v>4.1492616</v>
      </c>
      <c r="N77" s="60"/>
    </row>
    <row r="78" spans="1:14" ht="15" customHeight="1" thickBot="1" x14ac:dyDescent="0.3"/>
    <row r="79" spans="1:14" ht="15" customHeight="1" x14ac:dyDescent="0.25">
      <c r="A79" s="273" t="s">
        <v>56</v>
      </c>
      <c r="B79" s="19" t="s">
        <v>38</v>
      </c>
      <c r="C79" s="18">
        <v>1.5</v>
      </c>
      <c r="D79" s="13">
        <f t="shared" ref="D79:D81" si="101">C79/10000</f>
        <v>1.4999999999999999E-4</v>
      </c>
      <c r="E79" s="14">
        <v>0.8</v>
      </c>
      <c r="F79" s="15">
        <f t="shared" ref="F79:F81" si="102">D79*E79</f>
        <v>1.1999999999999999E-4</v>
      </c>
      <c r="G79" s="16">
        <v>170</v>
      </c>
      <c r="H79" s="16">
        <v>15</v>
      </c>
      <c r="I79" s="17">
        <f t="shared" ref="I79:I81" si="103">F79*G79</f>
        <v>2.0399999999999998E-2</v>
      </c>
      <c r="K79" s="76">
        <v>219</v>
      </c>
      <c r="L79" s="16">
        <v>15</v>
      </c>
      <c r="M79" s="17">
        <f>F79*K79</f>
        <v>2.6279999999999998E-2</v>
      </c>
      <c r="N79" s="256"/>
    </row>
    <row r="80" spans="1:14" ht="15" customHeight="1" x14ac:dyDescent="0.25">
      <c r="A80" s="275"/>
      <c r="B80" s="81" t="s">
        <v>51</v>
      </c>
      <c r="C80" s="80">
        <v>49.75</v>
      </c>
      <c r="D80" s="67">
        <f t="shared" si="101"/>
        <v>4.9750000000000003E-3</v>
      </c>
      <c r="E80" s="68">
        <v>0.6</v>
      </c>
      <c r="F80" s="69">
        <f t="shared" si="102"/>
        <v>2.9850000000000002E-3</v>
      </c>
      <c r="G80" s="70">
        <v>170</v>
      </c>
      <c r="H80" s="70">
        <v>15</v>
      </c>
      <c r="I80" s="71">
        <f t="shared" si="103"/>
        <v>0.50745000000000007</v>
      </c>
      <c r="K80" s="74">
        <v>219</v>
      </c>
      <c r="L80" s="70">
        <v>15</v>
      </c>
      <c r="M80" s="71">
        <f t="shared" ref="M80:M81" si="104">F80*K80</f>
        <v>0.65371500000000005</v>
      </c>
      <c r="N80" s="256"/>
    </row>
    <row r="81" spans="1:14" ht="15" customHeight="1" thickBot="1" x14ac:dyDescent="0.3">
      <c r="A81" s="274"/>
      <c r="B81" s="6" t="s">
        <v>39</v>
      </c>
      <c r="C81" s="7">
        <v>138.16</v>
      </c>
      <c r="D81" s="8">
        <f t="shared" si="101"/>
        <v>1.3816E-2</v>
      </c>
      <c r="E81" s="9">
        <v>0.6</v>
      </c>
      <c r="F81" s="10">
        <f t="shared" si="102"/>
        <v>8.2895999999999994E-3</v>
      </c>
      <c r="G81" s="11">
        <v>170</v>
      </c>
      <c r="H81" s="11">
        <v>15</v>
      </c>
      <c r="I81" s="12">
        <f t="shared" si="103"/>
        <v>1.4092319999999998</v>
      </c>
      <c r="K81" s="75">
        <v>219</v>
      </c>
      <c r="L81" s="11">
        <v>15</v>
      </c>
      <c r="M81" s="12">
        <f t="shared" si="104"/>
        <v>1.8154223999999999</v>
      </c>
      <c r="N81" s="256"/>
    </row>
    <row r="82" spans="1:14" ht="15" customHeight="1" x14ac:dyDescent="0.25">
      <c r="C82" s="77">
        <f>SUM(C79:C81)</f>
        <v>189.41</v>
      </c>
      <c r="D82" s="78">
        <f>SUM(D79:D81)</f>
        <v>1.8941E-2</v>
      </c>
      <c r="E82" s="77"/>
      <c r="F82" s="78">
        <f>SUM(F79:F81)</f>
        <v>1.13946E-2</v>
      </c>
      <c r="G82" s="77"/>
      <c r="H82" s="77"/>
      <c r="I82" s="60">
        <f>SUM(I79:I81)</f>
        <v>1.9370819999999997</v>
      </c>
      <c r="J82" s="77"/>
      <c r="K82" s="77"/>
      <c r="L82" s="77"/>
      <c r="M82" s="60">
        <f>SUM(M79:M81)</f>
        <v>2.4954174</v>
      </c>
      <c r="N82" s="60"/>
    </row>
    <row r="83" spans="1:14" ht="15" customHeight="1" x14ac:dyDescent="0.25">
      <c r="C83" s="77"/>
      <c r="D83" s="78"/>
      <c r="E83" s="77"/>
      <c r="F83" s="78"/>
      <c r="G83" s="77"/>
      <c r="H83" s="77"/>
      <c r="I83" s="60"/>
      <c r="J83" s="77"/>
      <c r="K83" s="77"/>
      <c r="L83" s="77"/>
      <c r="M83" s="60"/>
      <c r="N83" s="60"/>
    </row>
    <row r="84" spans="1:14" ht="15" customHeight="1" thickBot="1" x14ac:dyDescent="0.3"/>
    <row r="85" spans="1:14" ht="15" customHeight="1" x14ac:dyDescent="0.25">
      <c r="A85" s="270" t="s">
        <v>57</v>
      </c>
      <c r="B85" s="19" t="s">
        <v>38</v>
      </c>
      <c r="C85" s="18">
        <v>1.5</v>
      </c>
      <c r="D85" s="13">
        <f t="shared" ref="D85:D88" si="105">C85/10000</f>
        <v>1.4999999999999999E-4</v>
      </c>
      <c r="E85" s="14">
        <v>0.8</v>
      </c>
      <c r="F85" s="15">
        <f t="shared" ref="F85:F88" si="106">D85*E85</f>
        <v>1.1999999999999999E-4</v>
      </c>
      <c r="G85" s="16">
        <v>170</v>
      </c>
      <c r="H85" s="16">
        <v>15</v>
      </c>
      <c r="I85" s="17">
        <f t="shared" ref="I85:I88" si="107">F85*G85</f>
        <v>2.0399999999999998E-2</v>
      </c>
      <c r="K85" s="76">
        <v>219</v>
      </c>
      <c r="L85" s="16">
        <v>15</v>
      </c>
      <c r="M85" s="17">
        <f>F85*K85</f>
        <v>2.6279999999999998E-2</v>
      </c>
      <c r="N85" s="256"/>
    </row>
    <row r="86" spans="1:14" ht="15" customHeight="1" x14ac:dyDescent="0.25">
      <c r="A86" s="271"/>
      <c r="B86" s="81" t="s">
        <v>51</v>
      </c>
      <c r="C86" s="80">
        <v>43.77</v>
      </c>
      <c r="D86" s="67">
        <f t="shared" si="105"/>
        <v>4.3770000000000007E-3</v>
      </c>
      <c r="E86" s="68">
        <v>0.6</v>
      </c>
      <c r="F86" s="69">
        <f t="shared" si="106"/>
        <v>2.6262000000000004E-3</v>
      </c>
      <c r="G86" s="70">
        <v>170</v>
      </c>
      <c r="H86" s="70">
        <v>15</v>
      </c>
      <c r="I86" s="71">
        <f t="shared" si="107"/>
        <v>0.44645400000000007</v>
      </c>
      <c r="K86" s="74">
        <v>219</v>
      </c>
      <c r="L86" s="70">
        <v>15</v>
      </c>
      <c r="M86" s="71">
        <f t="shared" ref="M86:M88" si="108">F86*K86</f>
        <v>0.57513780000000014</v>
      </c>
      <c r="N86" s="256"/>
    </row>
    <row r="87" spans="1:14" ht="15" customHeight="1" x14ac:dyDescent="0.25">
      <c r="A87" s="271"/>
      <c r="B87" s="81" t="s">
        <v>39</v>
      </c>
      <c r="C87" s="80">
        <v>64</v>
      </c>
      <c r="D87" s="67">
        <f t="shared" si="105"/>
        <v>6.4000000000000003E-3</v>
      </c>
      <c r="E87" s="68">
        <v>0.6</v>
      </c>
      <c r="F87" s="69">
        <f t="shared" si="106"/>
        <v>3.8400000000000001E-3</v>
      </c>
      <c r="G87" s="70">
        <v>170</v>
      </c>
      <c r="H87" s="70">
        <v>15</v>
      </c>
      <c r="I87" s="71">
        <f t="shared" si="107"/>
        <v>0.65280000000000005</v>
      </c>
      <c r="K87" s="74">
        <v>219</v>
      </c>
      <c r="L87" s="70">
        <v>15</v>
      </c>
      <c r="M87" s="71">
        <f t="shared" si="108"/>
        <v>0.84096000000000004</v>
      </c>
      <c r="N87" s="256"/>
    </row>
    <row r="88" spans="1:14" ht="15" customHeight="1" thickBot="1" x14ac:dyDescent="0.3">
      <c r="A88" s="272"/>
      <c r="B88" s="6" t="s">
        <v>36</v>
      </c>
      <c r="C88" s="7">
        <v>23.96</v>
      </c>
      <c r="D88" s="8">
        <f t="shared" si="105"/>
        <v>2.3960000000000001E-3</v>
      </c>
      <c r="E88" s="9">
        <v>0.8</v>
      </c>
      <c r="F88" s="10">
        <f t="shared" si="106"/>
        <v>1.9168000000000002E-3</v>
      </c>
      <c r="G88" s="11">
        <v>170</v>
      </c>
      <c r="H88" s="11">
        <v>15</v>
      </c>
      <c r="I88" s="12">
        <f t="shared" si="107"/>
        <v>0.32585600000000003</v>
      </c>
      <c r="K88" s="75">
        <v>219</v>
      </c>
      <c r="L88" s="11">
        <v>15</v>
      </c>
      <c r="M88" s="12">
        <f t="shared" si="108"/>
        <v>0.41977920000000002</v>
      </c>
      <c r="N88" s="256"/>
    </row>
    <row r="89" spans="1:14" ht="15" customHeight="1" x14ac:dyDescent="0.25">
      <c r="C89" s="77">
        <f>SUM(C85:C88)</f>
        <v>133.23000000000002</v>
      </c>
      <c r="D89" s="78">
        <f>SUM(D85:D88)</f>
        <v>1.3323000000000002E-2</v>
      </c>
      <c r="E89" s="77"/>
      <c r="F89" s="78">
        <f>SUM(F85:F88)</f>
        <v>8.5030000000000001E-3</v>
      </c>
      <c r="G89" s="77"/>
      <c r="H89" s="77"/>
      <c r="I89" s="60">
        <f>SUM(I85:I88)</f>
        <v>1.4455100000000001</v>
      </c>
      <c r="J89" s="77"/>
      <c r="K89" s="77"/>
      <c r="L89" s="77"/>
      <c r="M89" s="60">
        <f>SUM(M85:M88)</f>
        <v>1.8621570000000001</v>
      </c>
      <c r="N89" s="60"/>
    </row>
    <row r="90" spans="1:14" ht="15" customHeight="1" thickBot="1" x14ac:dyDescent="0.3"/>
    <row r="91" spans="1:14" ht="15" customHeight="1" x14ac:dyDescent="0.25">
      <c r="A91" s="276" t="s">
        <v>58</v>
      </c>
      <c r="B91" s="19" t="s">
        <v>38</v>
      </c>
      <c r="C91" s="18">
        <v>17.05</v>
      </c>
      <c r="D91" s="13">
        <f t="shared" ref="D91:D94" si="109">C91/10000</f>
        <v>1.7050000000000001E-3</v>
      </c>
      <c r="E91" s="14">
        <v>0.8</v>
      </c>
      <c r="F91" s="15">
        <f t="shared" ref="F91:F94" si="110">D91*E91</f>
        <v>1.3640000000000002E-3</v>
      </c>
      <c r="G91" s="16">
        <v>170</v>
      </c>
      <c r="H91" s="16">
        <v>15</v>
      </c>
      <c r="I91" s="17">
        <f t="shared" ref="I91:I94" si="111">F91*G91</f>
        <v>0.23188000000000003</v>
      </c>
      <c r="K91" s="76">
        <v>219</v>
      </c>
      <c r="L91" s="16">
        <v>15</v>
      </c>
      <c r="M91" s="17">
        <f>F91*K91</f>
        <v>0.29871600000000004</v>
      </c>
      <c r="N91" s="256"/>
    </row>
    <row r="92" spans="1:14" ht="15" customHeight="1" x14ac:dyDescent="0.25">
      <c r="A92" s="277"/>
      <c r="B92" s="81" t="s">
        <v>40</v>
      </c>
      <c r="C92" s="80">
        <v>5.56</v>
      </c>
      <c r="D92" s="67">
        <f t="shared" si="109"/>
        <v>5.5599999999999996E-4</v>
      </c>
      <c r="E92" s="68">
        <v>0.8</v>
      </c>
      <c r="F92" s="69">
        <f t="shared" si="110"/>
        <v>4.4479999999999997E-4</v>
      </c>
      <c r="G92" s="70">
        <v>170</v>
      </c>
      <c r="H92" s="70">
        <v>15</v>
      </c>
      <c r="I92" s="71">
        <f t="shared" si="111"/>
        <v>7.5615999999999989E-2</v>
      </c>
      <c r="K92" s="74">
        <v>219</v>
      </c>
      <c r="L92" s="70">
        <v>15</v>
      </c>
      <c r="M92" s="71">
        <f t="shared" ref="M92:M94" si="112">F92*K92</f>
        <v>9.7411199999999989E-2</v>
      </c>
      <c r="N92" s="256"/>
    </row>
    <row r="93" spans="1:14" ht="15" customHeight="1" x14ac:dyDescent="0.25">
      <c r="A93" s="277"/>
      <c r="B93" s="81" t="s">
        <v>39</v>
      </c>
      <c r="C93" s="80">
        <v>1.77</v>
      </c>
      <c r="D93" s="67">
        <f t="shared" si="109"/>
        <v>1.7699999999999999E-4</v>
      </c>
      <c r="E93" s="68">
        <v>0.6</v>
      </c>
      <c r="F93" s="69">
        <f t="shared" si="110"/>
        <v>1.0619999999999999E-4</v>
      </c>
      <c r="G93" s="70">
        <v>170</v>
      </c>
      <c r="H93" s="70">
        <v>15</v>
      </c>
      <c r="I93" s="71">
        <f t="shared" si="111"/>
        <v>1.8053999999999997E-2</v>
      </c>
      <c r="K93" s="74">
        <v>219</v>
      </c>
      <c r="L93" s="70">
        <v>15</v>
      </c>
      <c r="M93" s="71">
        <f t="shared" si="112"/>
        <v>2.3257799999999999E-2</v>
      </c>
      <c r="N93" s="256"/>
    </row>
    <row r="94" spans="1:14" ht="15" customHeight="1" thickBot="1" x14ac:dyDescent="0.3">
      <c r="A94" s="278"/>
      <c r="B94" s="6" t="s">
        <v>36</v>
      </c>
      <c r="C94" s="7">
        <v>104.06</v>
      </c>
      <c r="D94" s="8">
        <f t="shared" si="109"/>
        <v>1.0406E-2</v>
      </c>
      <c r="E94" s="9">
        <v>0.8</v>
      </c>
      <c r="F94" s="10">
        <f t="shared" si="110"/>
        <v>8.3248000000000003E-3</v>
      </c>
      <c r="G94" s="11">
        <v>170</v>
      </c>
      <c r="H94" s="11">
        <v>15</v>
      </c>
      <c r="I94" s="12">
        <f t="shared" si="111"/>
        <v>1.415216</v>
      </c>
      <c r="K94" s="75">
        <v>219</v>
      </c>
      <c r="L94" s="11">
        <v>15</v>
      </c>
      <c r="M94" s="12">
        <f t="shared" si="112"/>
        <v>1.8231312</v>
      </c>
      <c r="N94" s="256"/>
    </row>
    <row r="95" spans="1:14" ht="15" customHeight="1" x14ac:dyDescent="0.25">
      <c r="C95" s="77">
        <f>SUM(C91:C94)</f>
        <v>128.44</v>
      </c>
      <c r="D95" s="78">
        <f>SUM(D91:D94)</f>
        <v>1.2844000000000001E-2</v>
      </c>
      <c r="E95" s="77"/>
      <c r="F95" s="78">
        <f>SUM(F91:F94)</f>
        <v>1.02398E-2</v>
      </c>
      <c r="G95" s="77"/>
      <c r="H95" s="77"/>
      <c r="I95" s="60">
        <f>SUM(I91:I94)</f>
        <v>1.740766</v>
      </c>
      <c r="J95" s="77"/>
      <c r="K95" s="77"/>
      <c r="L95" s="77"/>
      <c r="M95" s="60">
        <f>SUM(M91:M94)</f>
        <v>2.2425161999999998</v>
      </c>
      <c r="N95" s="60"/>
    </row>
    <row r="96" spans="1:14" ht="15" customHeight="1" thickBot="1" x14ac:dyDescent="0.3"/>
    <row r="97" spans="1:14" ht="15" customHeight="1" thickBot="1" x14ac:dyDescent="0.3">
      <c r="A97" s="88" t="s">
        <v>59</v>
      </c>
      <c r="B97" s="86" t="s">
        <v>39</v>
      </c>
      <c r="C97" s="21">
        <v>33.130000000000003</v>
      </c>
      <c r="D97" s="22">
        <f t="shared" ref="D97" si="113">C97/10000</f>
        <v>3.3130000000000004E-3</v>
      </c>
      <c r="E97" s="83">
        <v>0.6</v>
      </c>
      <c r="F97" s="22">
        <f t="shared" ref="F97" si="114">D97*E97</f>
        <v>1.9878000000000001E-3</v>
      </c>
      <c r="G97" s="23">
        <v>170</v>
      </c>
      <c r="H97" s="23">
        <v>15</v>
      </c>
      <c r="I97" s="24">
        <f t="shared" ref="I97" si="115">F97*G97</f>
        <v>0.337926</v>
      </c>
      <c r="K97" s="85">
        <v>219</v>
      </c>
      <c r="L97" s="23">
        <v>15</v>
      </c>
      <c r="M97" s="24">
        <f t="shared" ref="M97" si="116">F97*K97</f>
        <v>0.4353282</v>
      </c>
      <c r="N97" s="256"/>
    </row>
    <row r="98" spans="1:14" ht="15" customHeight="1" x14ac:dyDescent="0.25">
      <c r="C98" s="77">
        <f>SUM(C97)</f>
        <v>33.130000000000003</v>
      </c>
      <c r="D98" s="78">
        <f>SUM(D97)</f>
        <v>3.3130000000000004E-3</v>
      </c>
      <c r="E98" s="77"/>
      <c r="F98" s="78">
        <f>SUM(F97)</f>
        <v>1.9878000000000001E-3</v>
      </c>
      <c r="G98" s="77"/>
      <c r="H98" s="77"/>
      <c r="I98" s="60">
        <f>SUM(I97)</f>
        <v>0.337926</v>
      </c>
      <c r="J98" s="77"/>
      <c r="K98" s="77"/>
      <c r="L98" s="77"/>
      <c r="M98" s="60">
        <f>SUM(M97)</f>
        <v>0.4353282</v>
      </c>
      <c r="N98" s="60"/>
    </row>
    <row r="99" spans="1:14" x14ac:dyDescent="0.25">
      <c r="A99" s="87"/>
    </row>
    <row r="100" spans="1:14" x14ac:dyDescent="0.25">
      <c r="A100" s="87"/>
    </row>
  </sheetData>
  <mergeCells count="16">
    <mergeCell ref="A91:A94"/>
    <mergeCell ref="A73:A76"/>
    <mergeCell ref="A79:A81"/>
    <mergeCell ref="A85:A88"/>
    <mergeCell ref="A20:A22"/>
    <mergeCell ref="A14:A17"/>
    <mergeCell ref="A10:A11"/>
    <mergeCell ref="A5:A7"/>
    <mergeCell ref="A63:A67"/>
    <mergeCell ref="A41:A44"/>
    <mergeCell ref="A47:A48"/>
    <mergeCell ref="A51:A53"/>
    <mergeCell ref="A56:A60"/>
    <mergeCell ref="A25:A26"/>
    <mergeCell ref="A29:A32"/>
    <mergeCell ref="A35:A37"/>
  </mergeCells>
  <pageMargins left="0.25" right="0.25" top="0.75" bottom="0.75" header="0.3" footer="0.3"/>
  <pageSetup paperSize="9" scale="75" fitToWidth="0" fitToHeight="0" orientation="landscape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4"/>
  <sheetViews>
    <sheetView zoomScale="70" zoomScaleNormal="70" workbookViewId="0">
      <selection activeCell="J12" sqref="J12:J17"/>
    </sheetView>
  </sheetViews>
  <sheetFormatPr defaultRowHeight="15" x14ac:dyDescent="0.25"/>
  <cols>
    <col min="1" max="1" width="16.42578125" style="1" bestFit="1" customWidth="1"/>
    <col min="2" max="2" width="27" style="1" bestFit="1" customWidth="1"/>
    <col min="3" max="4" width="13.42578125" style="1" bestFit="1" customWidth="1"/>
    <col min="5" max="5" width="9.7109375" style="1" bestFit="1" customWidth="1"/>
    <col min="6" max="6" width="12" style="1" customWidth="1"/>
    <col min="7" max="7" width="11.5703125" style="1" bestFit="1" customWidth="1"/>
    <col min="8" max="8" width="17.28515625" style="1" bestFit="1" customWidth="1"/>
    <col min="9" max="9" width="13.7109375" style="1" bestFit="1" customWidth="1"/>
    <col min="10" max="10" width="7.7109375" style="1" customWidth="1"/>
    <col min="11" max="11" width="11.5703125" style="1" customWidth="1"/>
    <col min="12" max="12" width="17.28515625" style="1" customWidth="1"/>
    <col min="13" max="13" width="13.7109375" style="1" customWidth="1"/>
    <col min="14" max="14" width="2.7109375" style="1" customWidth="1"/>
    <col min="15" max="16384" width="9.140625" style="1"/>
  </cols>
  <sheetData>
    <row r="1" spans="1:13" ht="21.75" thickBot="1" x14ac:dyDescent="0.3">
      <c r="A1" s="2" t="s">
        <v>93</v>
      </c>
      <c r="B1" s="3"/>
      <c r="C1" s="4"/>
      <c r="D1" s="4"/>
      <c r="E1" s="4"/>
      <c r="F1" s="4"/>
      <c r="G1" s="4"/>
      <c r="H1" s="4"/>
      <c r="I1" s="5"/>
      <c r="J1" s="261"/>
      <c r="K1" s="72"/>
      <c r="L1" s="4"/>
      <c r="M1" s="5"/>
    </row>
    <row r="2" spans="1:13" ht="39" thickBot="1" x14ac:dyDescent="0.3">
      <c r="A2" s="258" t="s">
        <v>46</v>
      </c>
      <c r="B2" s="259"/>
      <c r="C2" s="254"/>
      <c r="D2" s="254"/>
      <c r="E2" s="254"/>
      <c r="F2" s="254"/>
      <c r="G2" s="254"/>
      <c r="H2" s="254"/>
      <c r="I2" s="260"/>
      <c r="K2" s="258" t="s">
        <v>47</v>
      </c>
      <c r="L2" s="254"/>
      <c r="M2" s="260"/>
    </row>
    <row r="3" spans="1:13" ht="60" customHeight="1" thickBot="1" x14ac:dyDescent="0.3">
      <c r="A3" s="25" t="s">
        <v>12</v>
      </c>
      <c r="B3" s="26" t="s">
        <v>13</v>
      </c>
      <c r="C3" s="26" t="s">
        <v>1</v>
      </c>
      <c r="D3" s="26" t="s">
        <v>1</v>
      </c>
      <c r="E3" s="26" t="s">
        <v>10</v>
      </c>
      <c r="F3" s="26" t="s">
        <v>3</v>
      </c>
      <c r="G3" s="26" t="s">
        <v>5</v>
      </c>
      <c r="H3" s="26" t="s">
        <v>0</v>
      </c>
      <c r="I3" s="27" t="s">
        <v>2</v>
      </c>
      <c r="K3" s="25" t="s">
        <v>5</v>
      </c>
      <c r="L3" s="26" t="s">
        <v>0</v>
      </c>
      <c r="M3" s="27" t="s">
        <v>2</v>
      </c>
    </row>
    <row r="4" spans="1:13" ht="15" customHeight="1" thickBot="1" x14ac:dyDescent="0.3">
      <c r="A4" s="61"/>
      <c r="B4" s="62"/>
      <c r="C4" s="63" t="s">
        <v>11</v>
      </c>
      <c r="D4" s="64" t="s">
        <v>8</v>
      </c>
      <c r="E4" s="65" t="s">
        <v>4</v>
      </c>
      <c r="F4" s="64" t="s">
        <v>8</v>
      </c>
      <c r="G4" s="64" t="s">
        <v>6</v>
      </c>
      <c r="H4" s="64" t="s">
        <v>7</v>
      </c>
      <c r="I4" s="66" t="s">
        <v>9</v>
      </c>
      <c r="K4" s="73" t="s">
        <v>6</v>
      </c>
      <c r="L4" s="64" t="s">
        <v>7</v>
      </c>
      <c r="M4" s="66" t="s">
        <v>9</v>
      </c>
    </row>
    <row r="5" spans="1:13" ht="15" customHeight="1" thickBot="1" x14ac:dyDescent="0.3">
      <c r="A5" s="188" t="s">
        <v>54</v>
      </c>
      <c r="B5" s="189" t="s">
        <v>39</v>
      </c>
      <c r="C5" s="190">
        <v>84.13</v>
      </c>
      <c r="D5" s="191">
        <f t="shared" ref="D5" si="0">C5/10000</f>
        <v>8.4130000000000003E-3</v>
      </c>
      <c r="E5" s="192">
        <v>0.6</v>
      </c>
      <c r="F5" s="193">
        <f t="shared" ref="F5" si="1">D5*E5</f>
        <v>5.0477999999999999E-3</v>
      </c>
      <c r="G5" s="194">
        <v>170</v>
      </c>
      <c r="H5" s="194">
        <v>15</v>
      </c>
      <c r="I5" s="195">
        <f t="shared" ref="I5" si="2">F5*G5</f>
        <v>0.85812599999999994</v>
      </c>
      <c r="J5" s="288" t="s">
        <v>96</v>
      </c>
      <c r="K5" s="196">
        <v>219</v>
      </c>
      <c r="L5" s="194">
        <v>15</v>
      </c>
      <c r="M5" s="195">
        <f t="shared" ref="M5" si="3">F5*K5</f>
        <v>1.1054682</v>
      </c>
    </row>
    <row r="6" spans="1:13" ht="15" customHeight="1" x14ac:dyDescent="0.25">
      <c r="A6" s="282" t="s">
        <v>55</v>
      </c>
      <c r="B6" s="197" t="s">
        <v>38</v>
      </c>
      <c r="C6" s="198">
        <v>28.61</v>
      </c>
      <c r="D6" s="199">
        <f t="shared" ref="D6:D9" si="4">C6/10000</f>
        <v>2.8609999999999998E-3</v>
      </c>
      <c r="E6" s="200">
        <v>0.8</v>
      </c>
      <c r="F6" s="201">
        <f t="shared" ref="F6:F9" si="5">D6*E6</f>
        <v>2.2888000000000001E-3</v>
      </c>
      <c r="G6" s="202">
        <v>170</v>
      </c>
      <c r="H6" s="202">
        <v>15</v>
      </c>
      <c r="I6" s="203">
        <f t="shared" ref="I6:I9" si="6">F6*G6</f>
        <v>0.389096</v>
      </c>
      <c r="J6" s="289"/>
      <c r="K6" s="204">
        <v>219</v>
      </c>
      <c r="L6" s="202">
        <v>15</v>
      </c>
      <c r="M6" s="203">
        <f>F6*K6</f>
        <v>0.5012472</v>
      </c>
    </row>
    <row r="7" spans="1:13" ht="15" customHeight="1" x14ac:dyDescent="0.25">
      <c r="A7" s="283"/>
      <c r="B7" s="205" t="s">
        <v>51</v>
      </c>
      <c r="C7" s="206">
        <v>7.54</v>
      </c>
      <c r="D7" s="207">
        <f t="shared" si="4"/>
        <v>7.54E-4</v>
      </c>
      <c r="E7" s="208">
        <v>0.6</v>
      </c>
      <c r="F7" s="209">
        <f t="shared" si="5"/>
        <v>4.5239999999999999E-4</v>
      </c>
      <c r="G7" s="210">
        <v>170</v>
      </c>
      <c r="H7" s="210">
        <v>15</v>
      </c>
      <c r="I7" s="211">
        <f t="shared" si="6"/>
        <v>7.6908000000000004E-2</v>
      </c>
      <c r="J7" s="289"/>
      <c r="K7" s="212">
        <v>219</v>
      </c>
      <c r="L7" s="210">
        <v>15</v>
      </c>
      <c r="M7" s="211">
        <f t="shared" ref="M7:M9" si="7">F7*K7</f>
        <v>9.90756E-2</v>
      </c>
    </row>
    <row r="8" spans="1:13" ht="15" customHeight="1" x14ac:dyDescent="0.25">
      <c r="A8" s="283"/>
      <c r="B8" s="205" t="s">
        <v>39</v>
      </c>
      <c r="C8" s="206">
        <v>4.42</v>
      </c>
      <c r="D8" s="207">
        <f t="shared" si="4"/>
        <v>4.4200000000000001E-4</v>
      </c>
      <c r="E8" s="208">
        <v>0.6</v>
      </c>
      <c r="F8" s="209">
        <f t="shared" si="5"/>
        <v>2.652E-4</v>
      </c>
      <c r="G8" s="210">
        <v>170</v>
      </c>
      <c r="H8" s="210">
        <v>15</v>
      </c>
      <c r="I8" s="211">
        <f t="shared" si="6"/>
        <v>4.5083999999999999E-2</v>
      </c>
      <c r="J8" s="289"/>
      <c r="K8" s="212">
        <v>219</v>
      </c>
      <c r="L8" s="210">
        <v>15</v>
      </c>
      <c r="M8" s="211">
        <f t="shared" si="7"/>
        <v>5.80788E-2</v>
      </c>
    </row>
    <row r="9" spans="1:13" ht="15" customHeight="1" thickBot="1" x14ac:dyDescent="0.3">
      <c r="A9" s="284"/>
      <c r="B9" s="213" t="s">
        <v>36</v>
      </c>
      <c r="C9" s="214">
        <v>199.25</v>
      </c>
      <c r="D9" s="215">
        <f t="shared" si="4"/>
        <v>1.9924999999999998E-2</v>
      </c>
      <c r="E9" s="216">
        <v>0.8</v>
      </c>
      <c r="F9" s="217">
        <f t="shared" si="5"/>
        <v>1.5939999999999999E-2</v>
      </c>
      <c r="G9" s="218">
        <v>170</v>
      </c>
      <c r="H9" s="218">
        <v>15</v>
      </c>
      <c r="I9" s="219">
        <f t="shared" si="6"/>
        <v>2.7098</v>
      </c>
      <c r="J9" s="289"/>
      <c r="K9" s="220">
        <v>219</v>
      </c>
      <c r="L9" s="218">
        <v>15</v>
      </c>
      <c r="M9" s="219">
        <f t="shared" si="7"/>
        <v>3.4908599999999996</v>
      </c>
    </row>
    <row r="10" spans="1:13" ht="15" customHeight="1" thickBot="1" x14ac:dyDescent="0.3">
      <c r="A10" s="184"/>
      <c r="B10" s="184"/>
      <c r="C10" s="185">
        <f>SUM(C5:C9)</f>
        <v>323.95</v>
      </c>
      <c r="D10" s="186">
        <f>SUM(D5:D9)</f>
        <v>3.2394999999999993E-2</v>
      </c>
      <c r="E10" s="185"/>
      <c r="F10" s="186">
        <f>SUM(F5:F9)</f>
        <v>2.39942E-2</v>
      </c>
      <c r="G10" s="185"/>
      <c r="H10" s="185"/>
      <c r="I10" s="187">
        <f>SUM(I5:I9)</f>
        <v>4.0790139999999999</v>
      </c>
      <c r="J10" s="290"/>
      <c r="K10" s="185"/>
      <c r="L10" s="185"/>
      <c r="M10" s="187">
        <f>SUM(M5:M9)</f>
        <v>5.2547297999999998</v>
      </c>
    </row>
    <row r="11" spans="1:13" ht="15" customHeight="1" thickBot="1" x14ac:dyDescent="0.3">
      <c r="C11" s="77"/>
      <c r="D11" s="78"/>
      <c r="E11" s="77"/>
      <c r="F11" s="78"/>
      <c r="G11" s="77"/>
      <c r="H11" s="77"/>
      <c r="I11" s="60"/>
      <c r="J11" s="77"/>
      <c r="K11" s="77"/>
      <c r="L11" s="77"/>
      <c r="M11" s="60"/>
    </row>
    <row r="12" spans="1:13" ht="15" customHeight="1" x14ac:dyDescent="0.25">
      <c r="A12" s="285" t="s">
        <v>67</v>
      </c>
      <c r="B12" s="117" t="s">
        <v>38</v>
      </c>
      <c r="C12" s="118">
        <v>17.05</v>
      </c>
      <c r="D12" s="119">
        <f t="shared" ref="D12:D15" si="8">C12/10000</f>
        <v>1.7050000000000001E-3</v>
      </c>
      <c r="E12" s="120">
        <v>0.8</v>
      </c>
      <c r="F12" s="121">
        <f t="shared" ref="F12:F15" si="9">D12*E12</f>
        <v>1.3640000000000002E-3</v>
      </c>
      <c r="G12" s="122">
        <v>170</v>
      </c>
      <c r="H12" s="122">
        <v>15</v>
      </c>
      <c r="I12" s="262">
        <f t="shared" ref="I12:I15" si="10">F12*G12</f>
        <v>0.23188000000000003</v>
      </c>
      <c r="J12" s="291" t="s">
        <v>99</v>
      </c>
      <c r="K12" s="266">
        <v>219</v>
      </c>
      <c r="L12" s="122">
        <v>15</v>
      </c>
      <c r="M12" s="123">
        <f>F12*K12</f>
        <v>0.29871600000000004</v>
      </c>
    </row>
    <row r="13" spans="1:13" ht="15" customHeight="1" x14ac:dyDescent="0.25">
      <c r="A13" s="286"/>
      <c r="B13" s="125" t="s">
        <v>40</v>
      </c>
      <c r="C13" s="126">
        <v>5.56</v>
      </c>
      <c r="D13" s="127">
        <f t="shared" si="8"/>
        <v>5.5599999999999996E-4</v>
      </c>
      <c r="E13" s="128">
        <v>0.8</v>
      </c>
      <c r="F13" s="129">
        <f t="shared" si="9"/>
        <v>4.4479999999999997E-4</v>
      </c>
      <c r="G13" s="130">
        <v>170</v>
      </c>
      <c r="H13" s="130">
        <v>15</v>
      </c>
      <c r="I13" s="263">
        <f t="shared" si="10"/>
        <v>7.5615999999999989E-2</v>
      </c>
      <c r="J13" s="292"/>
      <c r="K13" s="267">
        <v>219</v>
      </c>
      <c r="L13" s="130">
        <v>15</v>
      </c>
      <c r="M13" s="131">
        <f t="shared" ref="M13:M15" si="11">F13*K13</f>
        <v>9.7411199999999989E-2</v>
      </c>
    </row>
    <row r="14" spans="1:13" ht="15" customHeight="1" x14ac:dyDescent="0.25">
      <c r="A14" s="286"/>
      <c r="B14" s="125" t="s">
        <v>39</v>
      </c>
      <c r="C14" s="126">
        <v>1.77</v>
      </c>
      <c r="D14" s="127">
        <f t="shared" si="8"/>
        <v>1.7699999999999999E-4</v>
      </c>
      <c r="E14" s="128">
        <v>0.6</v>
      </c>
      <c r="F14" s="129">
        <f t="shared" si="9"/>
        <v>1.0619999999999999E-4</v>
      </c>
      <c r="G14" s="130">
        <v>170</v>
      </c>
      <c r="H14" s="130">
        <v>15</v>
      </c>
      <c r="I14" s="263">
        <f t="shared" si="10"/>
        <v>1.8053999999999997E-2</v>
      </c>
      <c r="J14" s="292"/>
      <c r="K14" s="267">
        <v>219</v>
      </c>
      <c r="L14" s="130">
        <v>15</v>
      </c>
      <c r="M14" s="131">
        <f t="shared" si="11"/>
        <v>2.3257799999999999E-2</v>
      </c>
    </row>
    <row r="15" spans="1:13" ht="15" customHeight="1" thickBot="1" x14ac:dyDescent="0.3">
      <c r="A15" s="287"/>
      <c r="B15" s="132" t="s">
        <v>36</v>
      </c>
      <c r="C15" s="133">
        <v>104.06</v>
      </c>
      <c r="D15" s="134">
        <f t="shared" si="8"/>
        <v>1.0406E-2</v>
      </c>
      <c r="E15" s="135">
        <v>0.8</v>
      </c>
      <c r="F15" s="136">
        <f t="shared" si="9"/>
        <v>8.3248000000000003E-3</v>
      </c>
      <c r="G15" s="137">
        <v>170</v>
      </c>
      <c r="H15" s="137">
        <v>15</v>
      </c>
      <c r="I15" s="264">
        <f t="shared" si="10"/>
        <v>1.415216</v>
      </c>
      <c r="J15" s="292"/>
      <c r="K15" s="268">
        <v>219</v>
      </c>
      <c r="L15" s="137">
        <v>15</v>
      </c>
      <c r="M15" s="138">
        <f t="shared" si="11"/>
        <v>1.8231312</v>
      </c>
    </row>
    <row r="16" spans="1:13" ht="35.1" customHeight="1" thickBot="1" x14ac:dyDescent="0.3">
      <c r="A16" s="177" t="s">
        <v>68</v>
      </c>
      <c r="B16" s="178" t="s">
        <v>39</v>
      </c>
      <c r="C16" s="179">
        <v>33.130000000000003</v>
      </c>
      <c r="D16" s="180">
        <f t="shared" ref="D16" si="12">C16/10000</f>
        <v>3.3130000000000004E-3</v>
      </c>
      <c r="E16" s="181">
        <v>0.6</v>
      </c>
      <c r="F16" s="180">
        <f t="shared" ref="F16" si="13">D16*E16</f>
        <v>1.9878000000000001E-3</v>
      </c>
      <c r="G16" s="182">
        <v>170</v>
      </c>
      <c r="H16" s="182">
        <v>15</v>
      </c>
      <c r="I16" s="265">
        <f t="shared" ref="I16" si="14">F16*G16</f>
        <v>0.337926</v>
      </c>
      <c r="J16" s="292"/>
      <c r="K16" s="269">
        <v>219</v>
      </c>
      <c r="L16" s="182">
        <v>15</v>
      </c>
      <c r="M16" s="183">
        <f t="shared" ref="M16" si="15">F16*K16</f>
        <v>0.4353282</v>
      </c>
    </row>
    <row r="17" spans="1:13" ht="15" customHeight="1" thickBot="1" x14ac:dyDescent="0.3">
      <c r="A17" s="124"/>
      <c r="B17" s="124"/>
      <c r="C17" s="139">
        <f>SUM(C12:C16)</f>
        <v>161.57</v>
      </c>
      <c r="D17" s="140">
        <f>SUM(D12:D16)</f>
        <v>1.6157000000000001E-2</v>
      </c>
      <c r="E17" s="139"/>
      <c r="F17" s="140">
        <f>SUM(F12:F16)</f>
        <v>1.22276E-2</v>
      </c>
      <c r="G17" s="139"/>
      <c r="H17" s="139"/>
      <c r="I17" s="141">
        <f>SUM(I12:I16)</f>
        <v>2.0786920000000002</v>
      </c>
      <c r="J17" s="293"/>
      <c r="K17" s="139"/>
      <c r="L17" s="139"/>
      <c r="M17" s="141">
        <f>SUM(M12:M16)</f>
        <v>2.6778443999999997</v>
      </c>
    </row>
    <row r="18" spans="1:13" ht="15.75" thickBot="1" x14ac:dyDescent="0.3"/>
    <row r="19" spans="1:13" ht="15" customHeight="1" x14ac:dyDescent="0.25">
      <c r="A19" s="279" t="s">
        <v>37</v>
      </c>
      <c r="B19" s="149" t="s">
        <v>38</v>
      </c>
      <c r="C19" s="150">
        <v>32.11</v>
      </c>
      <c r="D19" s="151">
        <f t="shared" ref="D19:D21" si="16">C19/10000</f>
        <v>3.2109999999999999E-3</v>
      </c>
      <c r="E19" s="152">
        <v>0.8</v>
      </c>
      <c r="F19" s="153">
        <f t="shared" ref="F19:F21" si="17">D19*E19</f>
        <v>2.5688E-3</v>
      </c>
      <c r="G19" s="154">
        <v>170</v>
      </c>
      <c r="H19" s="154">
        <v>15</v>
      </c>
      <c r="I19" s="155">
        <f t="shared" ref="I19:I21" si="18">F19*G19</f>
        <v>0.43669599999999997</v>
      </c>
      <c r="J19" s="294" t="s">
        <v>94</v>
      </c>
      <c r="K19" s="156">
        <v>219</v>
      </c>
      <c r="L19" s="154">
        <v>15</v>
      </c>
      <c r="M19" s="155">
        <f>F19*K19</f>
        <v>0.56256720000000005</v>
      </c>
    </row>
    <row r="20" spans="1:13" ht="15" customHeight="1" x14ac:dyDescent="0.25">
      <c r="A20" s="281"/>
      <c r="B20" s="157" t="s">
        <v>39</v>
      </c>
      <c r="C20" s="158">
        <v>7</v>
      </c>
      <c r="D20" s="159">
        <f t="shared" si="16"/>
        <v>6.9999999999999999E-4</v>
      </c>
      <c r="E20" s="160">
        <v>0.6</v>
      </c>
      <c r="F20" s="161">
        <f t="shared" si="17"/>
        <v>4.1999999999999996E-4</v>
      </c>
      <c r="G20" s="162">
        <v>170</v>
      </c>
      <c r="H20" s="162">
        <v>15</v>
      </c>
      <c r="I20" s="163">
        <f t="shared" si="18"/>
        <v>7.1399999999999991E-2</v>
      </c>
      <c r="J20" s="295"/>
      <c r="K20" s="164">
        <v>219</v>
      </c>
      <c r="L20" s="162">
        <v>15</v>
      </c>
      <c r="M20" s="163">
        <f t="shared" ref="M20:M21" si="19">F20*K20</f>
        <v>9.1979999999999992E-2</v>
      </c>
    </row>
    <row r="21" spans="1:13" ht="15" customHeight="1" thickBot="1" x14ac:dyDescent="0.3">
      <c r="A21" s="280"/>
      <c r="B21" s="165" t="s">
        <v>36</v>
      </c>
      <c r="C21" s="166">
        <v>80.55</v>
      </c>
      <c r="D21" s="167">
        <f t="shared" si="16"/>
        <v>8.0549999999999997E-3</v>
      </c>
      <c r="E21" s="168">
        <v>0.8</v>
      </c>
      <c r="F21" s="169">
        <f t="shared" si="17"/>
        <v>6.4440000000000001E-3</v>
      </c>
      <c r="G21" s="170">
        <v>170</v>
      </c>
      <c r="H21" s="170">
        <v>15</v>
      </c>
      <c r="I21" s="171">
        <f t="shared" si="18"/>
        <v>1.09548</v>
      </c>
      <c r="J21" s="295"/>
      <c r="K21" s="172">
        <v>219</v>
      </c>
      <c r="L21" s="170">
        <v>15</v>
      </c>
      <c r="M21" s="171">
        <f t="shared" si="19"/>
        <v>1.4112359999999999</v>
      </c>
    </row>
    <row r="22" spans="1:13" ht="15" customHeight="1" x14ac:dyDescent="0.25">
      <c r="A22" s="279" t="s">
        <v>89</v>
      </c>
      <c r="B22" s="149" t="s">
        <v>36</v>
      </c>
      <c r="C22" s="150">
        <v>199.14</v>
      </c>
      <c r="D22" s="151">
        <f t="shared" ref="D22:D23" si="20">C22/10000</f>
        <v>1.9913999999999998E-2</v>
      </c>
      <c r="E22" s="152">
        <v>0.8</v>
      </c>
      <c r="F22" s="153">
        <f t="shared" ref="F22:F23" si="21">D22*E22</f>
        <v>1.59312E-2</v>
      </c>
      <c r="G22" s="154">
        <v>170</v>
      </c>
      <c r="H22" s="154">
        <v>15</v>
      </c>
      <c r="I22" s="155">
        <f t="shared" ref="I22:I23" si="22">F22*G22</f>
        <v>2.708304</v>
      </c>
      <c r="J22" s="295"/>
      <c r="K22" s="156">
        <v>219</v>
      </c>
      <c r="L22" s="154">
        <v>15</v>
      </c>
      <c r="M22" s="155">
        <f t="shared" ref="M22:M23" si="23">F22*K22</f>
        <v>3.4889327999999997</v>
      </c>
    </row>
    <row r="23" spans="1:13" ht="15" customHeight="1" thickBot="1" x14ac:dyDescent="0.3">
      <c r="A23" s="280"/>
      <c r="B23" s="165" t="s">
        <v>39</v>
      </c>
      <c r="C23" s="166">
        <v>36.479999999999997</v>
      </c>
      <c r="D23" s="167">
        <f t="shared" si="20"/>
        <v>3.6479999999999998E-3</v>
      </c>
      <c r="E23" s="168">
        <v>0.6</v>
      </c>
      <c r="F23" s="169">
        <f t="shared" si="21"/>
        <v>2.1887999999999999E-3</v>
      </c>
      <c r="G23" s="170">
        <v>170</v>
      </c>
      <c r="H23" s="170">
        <v>15</v>
      </c>
      <c r="I23" s="171">
        <f t="shared" si="22"/>
        <v>0.37209599999999998</v>
      </c>
      <c r="J23" s="295"/>
      <c r="K23" s="172">
        <v>219</v>
      </c>
      <c r="L23" s="170">
        <v>15</v>
      </c>
      <c r="M23" s="171">
        <f t="shared" si="23"/>
        <v>0.47934719999999997</v>
      </c>
    </row>
    <row r="24" spans="1:13" ht="15" customHeight="1" thickBot="1" x14ac:dyDescent="0.3">
      <c r="A24" s="173"/>
      <c r="B24" s="173"/>
      <c r="C24" s="174">
        <f>SUM(C19:C23)</f>
        <v>355.28</v>
      </c>
      <c r="D24" s="175">
        <f>SUM(D19:D23)</f>
        <v>3.5527999999999997E-2</v>
      </c>
      <c r="E24" s="175"/>
      <c r="F24" s="175">
        <f>SUM(F19:F23)</f>
        <v>2.7552799999999999E-2</v>
      </c>
      <c r="G24" s="175"/>
      <c r="H24" s="175"/>
      <c r="I24" s="176">
        <f>SUM(I19:I23)</f>
        <v>4.6839760000000004</v>
      </c>
      <c r="J24" s="296"/>
      <c r="K24" s="175"/>
      <c r="L24" s="175"/>
      <c r="M24" s="176">
        <f>SUM(M19:M23)</f>
        <v>6.0340631999999994</v>
      </c>
    </row>
  </sheetData>
  <mergeCells count="7">
    <mergeCell ref="A22:A23"/>
    <mergeCell ref="A19:A21"/>
    <mergeCell ref="A6:A9"/>
    <mergeCell ref="A12:A15"/>
    <mergeCell ref="J5:J10"/>
    <mergeCell ref="J12:J17"/>
    <mergeCell ref="J19:J24"/>
  </mergeCells>
  <pageMargins left="0.7" right="0.7" top="0.78740157499999996" bottom="0.78740157499999996" header="0.3" footer="0.3"/>
  <pageSetup paperSize="9" scale="70" fitToWidth="0" fitToHeight="0" orientation="landscape" horizontalDpi="4294967293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2"/>
  <sheetViews>
    <sheetView zoomScaleNormal="100" workbookViewId="0">
      <selection activeCell="J29" sqref="J29"/>
    </sheetView>
  </sheetViews>
  <sheetFormatPr defaultRowHeight="15" x14ac:dyDescent="0.25"/>
  <cols>
    <col min="1" max="2" width="7.7109375" customWidth="1"/>
    <col min="3" max="3" width="20.7109375" customWidth="1"/>
    <col min="4" max="4" width="8.7109375" customWidth="1"/>
    <col min="5" max="5" width="12.7109375" customWidth="1"/>
  </cols>
  <sheetData>
    <row r="1" spans="1:6" ht="50.1" customHeight="1" thickBot="1" x14ac:dyDescent="0.3">
      <c r="A1" s="297" t="s">
        <v>95</v>
      </c>
      <c r="B1" s="298"/>
      <c r="C1" s="298"/>
      <c r="D1" s="298"/>
      <c r="E1" s="299"/>
    </row>
    <row r="2" spans="1:6" ht="18" x14ac:dyDescent="0.35">
      <c r="A2" s="28"/>
      <c r="C2" s="29" t="s">
        <v>15</v>
      </c>
      <c r="D2" s="30" t="s">
        <v>90</v>
      </c>
      <c r="E2" s="31">
        <f>5.6*(10^-6)</f>
        <v>5.5999999999999997E-6</v>
      </c>
    </row>
    <row r="3" spans="1:6" ht="18" x14ac:dyDescent="0.25">
      <c r="A3" s="33"/>
      <c r="B3" s="34"/>
      <c r="C3" s="35" t="s">
        <v>16</v>
      </c>
      <c r="D3" s="36" t="s">
        <v>17</v>
      </c>
      <c r="E3" s="143">
        <v>275.5</v>
      </c>
    </row>
    <row r="4" spans="1:6" ht="18" x14ac:dyDescent="0.25">
      <c r="A4" s="37"/>
      <c r="B4" s="38"/>
      <c r="C4" s="35" t="s">
        <v>18</v>
      </c>
      <c r="D4" s="36" t="s">
        <v>17</v>
      </c>
      <c r="E4" s="143">
        <v>92</v>
      </c>
      <c r="F4" s="252">
        <f>E4+E3</f>
        <v>367.5</v>
      </c>
    </row>
    <row r="5" spans="1:6" ht="30" x14ac:dyDescent="0.25">
      <c r="A5" s="142" t="s">
        <v>69</v>
      </c>
      <c r="B5" s="34"/>
      <c r="C5" s="39" t="s">
        <v>19</v>
      </c>
      <c r="D5" s="30" t="s">
        <v>17</v>
      </c>
      <c r="E5" s="143">
        <v>45</v>
      </c>
    </row>
    <row r="6" spans="1:6" ht="18" x14ac:dyDescent="0.25">
      <c r="A6" s="40" t="s">
        <v>20</v>
      </c>
      <c r="B6" s="35" t="s">
        <v>21</v>
      </c>
      <c r="C6" s="38"/>
      <c r="E6" s="31" t="s">
        <v>22</v>
      </c>
    </row>
    <row r="7" spans="1:6" ht="17.25" x14ac:dyDescent="0.25">
      <c r="A7" s="41">
        <v>5</v>
      </c>
      <c r="B7" s="42">
        <v>11.3</v>
      </c>
      <c r="C7" s="300" t="s">
        <v>23</v>
      </c>
      <c r="D7" s="36" t="s">
        <v>24</v>
      </c>
      <c r="E7" s="43">
        <f>$B7/1000*($E$3+$E$4)-1/2*$E$2*$E$5*$A7*60</f>
        <v>4.1149500000000003</v>
      </c>
    </row>
    <row r="8" spans="1:6" ht="17.25" customHeight="1" x14ac:dyDescent="0.25">
      <c r="A8" s="41">
        <v>10</v>
      </c>
      <c r="B8" s="42">
        <v>16.5</v>
      </c>
      <c r="C8" s="300"/>
      <c r="D8" s="36" t="s">
        <v>24</v>
      </c>
      <c r="E8" s="43">
        <f t="shared" ref="E8:E23" si="0">$B8/1000*($E$3+$E$4)-1/2*$E$2*$E$5*$A8*60</f>
        <v>5.988150000000001</v>
      </c>
    </row>
    <row r="9" spans="1:6" ht="17.25" x14ac:dyDescent="0.25">
      <c r="A9" s="41">
        <v>15</v>
      </c>
      <c r="B9" s="42">
        <v>19.5</v>
      </c>
      <c r="C9" s="300"/>
      <c r="D9" s="36" t="s">
        <v>24</v>
      </c>
      <c r="E9" s="43">
        <f t="shared" si="0"/>
        <v>7.0528499999999994</v>
      </c>
    </row>
    <row r="10" spans="1:6" ht="17.25" x14ac:dyDescent="0.25">
      <c r="A10" s="41">
        <v>20</v>
      </c>
      <c r="B10" s="42">
        <v>21.1</v>
      </c>
      <c r="C10" s="300"/>
      <c r="D10" s="36" t="s">
        <v>24</v>
      </c>
      <c r="E10" s="43">
        <f t="shared" si="0"/>
        <v>7.6030499999999996</v>
      </c>
    </row>
    <row r="11" spans="1:6" ht="17.25" x14ac:dyDescent="0.25">
      <c r="A11" s="41">
        <v>30</v>
      </c>
      <c r="B11" s="42">
        <v>23.2</v>
      </c>
      <c r="C11" s="300"/>
      <c r="D11" s="36" t="s">
        <v>24</v>
      </c>
      <c r="E11" s="43">
        <f t="shared" si="0"/>
        <v>8.299199999999999</v>
      </c>
    </row>
    <row r="12" spans="1:6" ht="17.25" x14ac:dyDescent="0.25">
      <c r="A12" s="41">
        <v>40</v>
      </c>
      <c r="B12" s="42">
        <v>24.7</v>
      </c>
      <c r="C12" s="300"/>
      <c r="D12" s="36" t="s">
        <v>24</v>
      </c>
      <c r="E12" s="43">
        <f t="shared" si="0"/>
        <v>8.7748499999999989</v>
      </c>
    </row>
    <row r="13" spans="1:6" ht="17.25" x14ac:dyDescent="0.25">
      <c r="A13" s="41">
        <v>60</v>
      </c>
      <c r="B13" s="42">
        <v>26.9</v>
      </c>
      <c r="C13" s="300"/>
      <c r="D13" s="36" t="s">
        <v>24</v>
      </c>
      <c r="E13" s="43">
        <f t="shared" si="0"/>
        <v>9.43215</v>
      </c>
    </row>
    <row r="14" spans="1:6" ht="17.25" x14ac:dyDescent="0.25">
      <c r="A14" s="41">
        <v>120</v>
      </c>
      <c r="B14" s="42">
        <v>30.6</v>
      </c>
      <c r="C14" s="300"/>
      <c r="D14" s="36" t="s">
        <v>24</v>
      </c>
      <c r="E14" s="43">
        <f t="shared" si="0"/>
        <v>10.338300000000002</v>
      </c>
    </row>
    <row r="15" spans="1:6" ht="17.25" x14ac:dyDescent="0.25">
      <c r="A15" s="41">
        <v>240</v>
      </c>
      <c r="B15" s="42">
        <v>36.6</v>
      </c>
      <c r="C15" s="300"/>
      <c r="D15" s="36" t="s">
        <v>24</v>
      </c>
      <c r="E15" s="43">
        <f t="shared" si="0"/>
        <v>11.636099999999999</v>
      </c>
    </row>
    <row r="16" spans="1:6" ht="21" x14ac:dyDescent="0.3">
      <c r="A16" s="144">
        <v>360</v>
      </c>
      <c r="B16" s="145">
        <v>42.5</v>
      </c>
      <c r="C16" s="300"/>
      <c r="D16" s="146" t="s">
        <v>73</v>
      </c>
      <c r="E16" s="147">
        <f t="shared" si="0"/>
        <v>12.89715</v>
      </c>
    </row>
    <row r="17" spans="1:5" ht="17.25" x14ac:dyDescent="0.25">
      <c r="A17" s="41">
        <v>480</v>
      </c>
      <c r="B17" s="42">
        <v>43.2</v>
      </c>
      <c r="C17" s="300"/>
      <c r="D17" s="36" t="s">
        <v>24</v>
      </c>
      <c r="E17" s="43">
        <f t="shared" si="0"/>
        <v>12.247200000000001</v>
      </c>
    </row>
    <row r="18" spans="1:5" ht="17.25" x14ac:dyDescent="0.25">
      <c r="A18" s="41">
        <v>600</v>
      </c>
      <c r="B18" s="42">
        <v>43.8</v>
      </c>
      <c r="C18" s="300"/>
      <c r="D18" s="36" t="s">
        <v>24</v>
      </c>
      <c r="E18" s="43">
        <f t="shared" si="0"/>
        <v>11.560499999999999</v>
      </c>
    </row>
    <row r="19" spans="1:5" ht="17.25" x14ac:dyDescent="0.25">
      <c r="A19" s="41">
        <v>720</v>
      </c>
      <c r="B19" s="42">
        <v>44.5</v>
      </c>
      <c r="C19" s="300"/>
      <c r="D19" s="36" t="s">
        <v>24</v>
      </c>
      <c r="E19" s="43">
        <f t="shared" si="0"/>
        <v>10.910549999999997</v>
      </c>
    </row>
    <row r="20" spans="1:5" ht="17.25" x14ac:dyDescent="0.25">
      <c r="A20" s="41">
        <v>1080</v>
      </c>
      <c r="B20" s="42">
        <v>46.4</v>
      </c>
      <c r="C20" s="300"/>
      <c r="D20" s="36" t="s">
        <v>24</v>
      </c>
      <c r="E20" s="43">
        <f t="shared" si="0"/>
        <v>8.8872</v>
      </c>
    </row>
    <row r="21" spans="1:5" ht="17.25" x14ac:dyDescent="0.25">
      <c r="A21" s="41">
        <v>1440</v>
      </c>
      <c r="B21" s="42">
        <v>46.9</v>
      </c>
      <c r="C21" s="300"/>
      <c r="D21" s="36" t="s">
        <v>24</v>
      </c>
      <c r="E21" s="43">
        <f t="shared" si="0"/>
        <v>6.3493499999999994</v>
      </c>
    </row>
    <row r="22" spans="1:5" ht="17.25" x14ac:dyDescent="0.25">
      <c r="A22" s="41">
        <v>2880</v>
      </c>
      <c r="B22" s="42">
        <v>58.9</v>
      </c>
      <c r="C22" s="300"/>
      <c r="D22" s="36" t="s">
        <v>24</v>
      </c>
      <c r="E22" s="43">
        <f t="shared" si="0"/>
        <v>-0.12705000000000055</v>
      </c>
    </row>
    <row r="23" spans="1:5" ht="17.25" x14ac:dyDescent="0.25">
      <c r="A23" s="41">
        <v>4320</v>
      </c>
      <c r="B23" s="42">
        <v>62.5</v>
      </c>
      <c r="C23" s="300"/>
      <c r="D23" s="36" t="s">
        <v>24</v>
      </c>
      <c r="E23" s="43">
        <f t="shared" si="0"/>
        <v>-9.6904499999999985</v>
      </c>
    </row>
    <row r="24" spans="1:5" x14ac:dyDescent="0.25">
      <c r="A24" s="28"/>
      <c r="E24" s="32"/>
    </row>
    <row r="25" spans="1:5" ht="18" x14ac:dyDescent="0.25">
      <c r="A25" s="37"/>
      <c r="B25" s="38"/>
      <c r="C25" s="30" t="s">
        <v>25</v>
      </c>
      <c r="D25" s="36" t="s">
        <v>26</v>
      </c>
      <c r="E25" s="44">
        <f>1/2*$E$2*$E$5</f>
        <v>1.26E-4</v>
      </c>
    </row>
    <row r="26" spans="1:5" x14ac:dyDescent="0.25">
      <c r="A26" s="37"/>
      <c r="B26" s="38"/>
      <c r="C26" s="30"/>
      <c r="E26" s="45"/>
    </row>
    <row r="27" spans="1:5" ht="18" x14ac:dyDescent="0.25">
      <c r="A27" s="37"/>
      <c r="B27" s="38"/>
      <c r="C27" s="30" t="s">
        <v>27</v>
      </c>
      <c r="D27" s="36" t="s">
        <v>28</v>
      </c>
      <c r="E27" s="46">
        <f>(E16/E$25)</f>
        <v>102358.33333333333</v>
      </c>
    </row>
    <row r="28" spans="1:5" x14ac:dyDescent="0.25">
      <c r="A28" s="37"/>
      <c r="B28" s="38"/>
      <c r="C28" s="38"/>
      <c r="D28" s="36" t="s">
        <v>29</v>
      </c>
      <c r="E28" s="47">
        <f>E27/3600</f>
        <v>28.43287037037037</v>
      </c>
    </row>
    <row r="29" spans="1:5" ht="18.75" thickBot="1" x14ac:dyDescent="0.3">
      <c r="A29" s="48"/>
      <c r="B29" s="49"/>
      <c r="C29" s="50" t="s">
        <v>30</v>
      </c>
      <c r="D29" s="49"/>
      <c r="E29" s="51" t="str">
        <f>IF(E28&lt;72,"vyhovuje","nevyhovuje")</f>
        <v>vyhovuje</v>
      </c>
    </row>
    <row r="30" spans="1:5" ht="15.75" thickBot="1" x14ac:dyDescent="0.3"/>
    <row r="31" spans="1:5" ht="18" x14ac:dyDescent="0.25">
      <c r="A31" s="38"/>
      <c r="B31" s="52" t="s">
        <v>31</v>
      </c>
      <c r="C31" s="53" t="s">
        <v>32</v>
      </c>
      <c r="D31" s="54" t="s">
        <v>24</v>
      </c>
      <c r="E31" s="55">
        <f>E16/0.3</f>
        <v>42.990500000000004</v>
      </c>
    </row>
    <row r="32" spans="1:5" ht="18.75" thickBot="1" x14ac:dyDescent="0.3">
      <c r="A32" s="1"/>
      <c r="B32" s="56" t="s">
        <v>33</v>
      </c>
      <c r="C32" s="57" t="s">
        <v>34</v>
      </c>
      <c r="D32" s="58" t="s">
        <v>35</v>
      </c>
      <c r="E32" s="59">
        <f>E16/0.95</f>
        <v>13.575947368421053</v>
      </c>
    </row>
  </sheetData>
  <mergeCells count="2">
    <mergeCell ref="A1:E1"/>
    <mergeCell ref="C7:C23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2"/>
  <sheetViews>
    <sheetView zoomScaleNormal="100" workbookViewId="0">
      <selection activeCell="J5" sqref="J5"/>
    </sheetView>
  </sheetViews>
  <sheetFormatPr defaultRowHeight="15" x14ac:dyDescent="0.25"/>
  <cols>
    <col min="1" max="2" width="7.7109375" customWidth="1"/>
    <col min="3" max="3" width="20.7109375" customWidth="1"/>
    <col min="4" max="4" width="8.7109375" customWidth="1"/>
    <col min="5" max="5" width="12.7109375" customWidth="1"/>
  </cols>
  <sheetData>
    <row r="1" spans="1:5" ht="50.1" customHeight="1" thickBot="1" x14ac:dyDescent="0.3">
      <c r="A1" s="301" t="s">
        <v>98</v>
      </c>
      <c r="B1" s="302"/>
      <c r="C1" s="302"/>
      <c r="D1" s="302"/>
      <c r="E1" s="303"/>
    </row>
    <row r="2" spans="1:5" ht="18" x14ac:dyDescent="0.35">
      <c r="A2" s="28"/>
      <c r="C2" s="29" t="s">
        <v>15</v>
      </c>
      <c r="D2" s="30" t="s">
        <v>90</v>
      </c>
      <c r="E2" s="31">
        <f>5.6*(10^-6)</f>
        <v>5.5999999999999997E-6</v>
      </c>
    </row>
    <row r="3" spans="1:5" ht="18" x14ac:dyDescent="0.25">
      <c r="A3" s="33"/>
      <c r="B3" s="34"/>
      <c r="C3" s="35" t="s">
        <v>16</v>
      </c>
      <c r="D3" s="36" t="s">
        <v>17</v>
      </c>
      <c r="E3" s="143">
        <f>'nátoky dle UV'!F17*10000</f>
        <v>122.276</v>
      </c>
    </row>
    <row r="4" spans="1:5" ht="18" x14ac:dyDescent="0.25">
      <c r="A4" s="37"/>
      <c r="B4" s="38"/>
      <c r="C4" s="35" t="s">
        <v>18</v>
      </c>
      <c r="D4" s="36" t="s">
        <v>17</v>
      </c>
      <c r="E4" s="143">
        <f>46+7.3+2</f>
        <v>55.3</v>
      </c>
    </row>
    <row r="5" spans="1:5" ht="30" x14ac:dyDescent="0.25">
      <c r="A5" s="142" t="s">
        <v>69</v>
      </c>
      <c r="B5" s="34"/>
      <c r="C5" s="35" t="s">
        <v>77</v>
      </c>
      <c r="D5" s="30" t="s">
        <v>17</v>
      </c>
      <c r="E5" s="31">
        <v>49.6</v>
      </c>
    </row>
    <row r="6" spans="1:5" ht="18" x14ac:dyDescent="0.25">
      <c r="A6" s="40" t="s">
        <v>20</v>
      </c>
      <c r="B6" s="35" t="s">
        <v>21</v>
      </c>
      <c r="C6" s="38"/>
      <c r="E6" s="31" t="s">
        <v>22</v>
      </c>
    </row>
    <row r="7" spans="1:5" ht="17.25" x14ac:dyDescent="0.25">
      <c r="A7" s="41">
        <v>5</v>
      </c>
      <c r="B7" s="42">
        <v>11.3</v>
      </c>
      <c r="C7" s="300" t="s">
        <v>23</v>
      </c>
      <c r="D7" s="36" t="s">
        <v>24</v>
      </c>
      <c r="E7" s="43">
        <f>$B7/1000*($E$3+$E$4)-1/2*$E$2*$E$5*$A7*60</f>
        <v>1.9649448</v>
      </c>
    </row>
    <row r="8" spans="1:5" ht="17.25" customHeight="1" x14ac:dyDescent="0.25">
      <c r="A8" s="41">
        <v>10</v>
      </c>
      <c r="B8" s="42">
        <v>16.5</v>
      </c>
      <c r="C8" s="300"/>
      <c r="D8" s="36" t="s">
        <v>24</v>
      </c>
      <c r="E8" s="43">
        <f t="shared" ref="E8:E23" si="0">$B8/1000*($E$3+$E$4)-1/2*$E$2*$E$5*$A8*60</f>
        <v>2.846676</v>
      </c>
    </row>
    <row r="9" spans="1:5" ht="17.25" x14ac:dyDescent="0.25">
      <c r="A9" s="41">
        <v>15</v>
      </c>
      <c r="B9" s="42">
        <v>19.5</v>
      </c>
      <c r="C9" s="300"/>
      <c r="D9" s="36" t="s">
        <v>24</v>
      </c>
      <c r="E9" s="43">
        <f t="shared" si="0"/>
        <v>3.3377400000000002</v>
      </c>
    </row>
    <row r="10" spans="1:5" ht="17.25" x14ac:dyDescent="0.25">
      <c r="A10" s="41">
        <v>20</v>
      </c>
      <c r="B10" s="42">
        <v>21.1</v>
      </c>
      <c r="C10" s="300"/>
      <c r="D10" s="36" t="s">
        <v>24</v>
      </c>
      <c r="E10" s="43">
        <f t="shared" si="0"/>
        <v>3.5801976</v>
      </c>
    </row>
    <row r="11" spans="1:5" ht="17.25" x14ac:dyDescent="0.25">
      <c r="A11" s="41">
        <v>30</v>
      </c>
      <c r="B11" s="42">
        <v>23.2</v>
      </c>
      <c r="C11" s="300"/>
      <c r="D11" s="36" t="s">
        <v>24</v>
      </c>
      <c r="E11" s="43">
        <f t="shared" si="0"/>
        <v>3.8697791999999995</v>
      </c>
    </row>
    <row r="12" spans="1:5" ht="17.25" x14ac:dyDescent="0.25">
      <c r="A12" s="41">
        <v>40</v>
      </c>
      <c r="B12" s="42">
        <v>24.7</v>
      </c>
      <c r="C12" s="300"/>
      <c r="D12" s="36" t="s">
        <v>24</v>
      </c>
      <c r="E12" s="43">
        <f t="shared" si="0"/>
        <v>4.0528151999999995</v>
      </c>
    </row>
    <row r="13" spans="1:5" ht="17.25" x14ac:dyDescent="0.25">
      <c r="A13" s="41">
        <v>60</v>
      </c>
      <c r="B13" s="42">
        <v>26.9</v>
      </c>
      <c r="C13" s="300"/>
      <c r="D13" s="36" t="s">
        <v>24</v>
      </c>
      <c r="E13" s="43">
        <f t="shared" si="0"/>
        <v>4.2768264</v>
      </c>
    </row>
    <row r="14" spans="1:5" ht="17.25" x14ac:dyDescent="0.25">
      <c r="A14" s="41">
        <v>120</v>
      </c>
      <c r="B14" s="42">
        <v>30.6</v>
      </c>
      <c r="C14" s="300"/>
      <c r="D14" s="36" t="s">
        <v>24</v>
      </c>
      <c r="E14" s="43">
        <f t="shared" si="0"/>
        <v>4.4338896000000005</v>
      </c>
    </row>
    <row r="15" spans="1:5" ht="17.25" x14ac:dyDescent="0.25">
      <c r="A15" s="41">
        <v>240</v>
      </c>
      <c r="B15" s="42">
        <v>36.6</v>
      </c>
      <c r="C15" s="300"/>
      <c r="D15" s="36" t="s">
        <v>24</v>
      </c>
      <c r="E15" s="43">
        <f t="shared" si="0"/>
        <v>4.4994095999999999</v>
      </c>
    </row>
    <row r="16" spans="1:5" ht="21" x14ac:dyDescent="0.3">
      <c r="A16" s="144">
        <v>360</v>
      </c>
      <c r="B16" s="145">
        <v>42.5</v>
      </c>
      <c r="C16" s="300"/>
      <c r="D16" s="146" t="s">
        <v>73</v>
      </c>
      <c r="E16" s="147">
        <f t="shared" si="0"/>
        <v>4.5471719999999998</v>
      </c>
    </row>
    <row r="17" spans="1:5" ht="17.25" x14ac:dyDescent="0.25">
      <c r="A17" s="41">
        <v>480</v>
      </c>
      <c r="B17" s="42">
        <v>43.2</v>
      </c>
      <c r="C17" s="300"/>
      <c r="D17" s="36" t="s">
        <v>24</v>
      </c>
      <c r="E17" s="43">
        <f t="shared" si="0"/>
        <v>3.6715392000000007</v>
      </c>
    </row>
    <row r="18" spans="1:5" ht="17.25" x14ac:dyDescent="0.25">
      <c r="A18" s="41">
        <v>600</v>
      </c>
      <c r="B18" s="42">
        <v>43.8</v>
      </c>
      <c r="C18" s="300"/>
      <c r="D18" s="36" t="s">
        <v>24</v>
      </c>
      <c r="E18" s="43">
        <f t="shared" si="0"/>
        <v>2.7781487999999994</v>
      </c>
    </row>
    <row r="19" spans="1:5" ht="17.25" x14ac:dyDescent="0.25">
      <c r="A19" s="41">
        <v>720</v>
      </c>
      <c r="B19" s="42">
        <v>44.5</v>
      </c>
      <c r="C19" s="300"/>
      <c r="D19" s="36" t="s">
        <v>24</v>
      </c>
      <c r="E19" s="43">
        <f t="shared" si="0"/>
        <v>1.9025159999999985</v>
      </c>
    </row>
    <row r="20" spans="1:5" ht="17.25" x14ac:dyDescent="0.25">
      <c r="A20" s="41">
        <v>1080</v>
      </c>
      <c r="B20" s="42">
        <v>46.4</v>
      </c>
      <c r="C20" s="300"/>
      <c r="D20" s="36" t="s">
        <v>24</v>
      </c>
      <c r="E20" s="43">
        <f t="shared" si="0"/>
        <v>-0.75989760000000039</v>
      </c>
    </row>
    <row r="21" spans="1:5" ht="17.25" x14ac:dyDescent="0.25">
      <c r="A21" s="41">
        <v>1440</v>
      </c>
      <c r="B21" s="42">
        <v>46.9</v>
      </c>
      <c r="C21" s="300"/>
      <c r="D21" s="36" t="s">
        <v>24</v>
      </c>
      <c r="E21" s="43">
        <f t="shared" si="0"/>
        <v>-3.670917600000001</v>
      </c>
    </row>
    <row r="22" spans="1:5" ht="17.25" x14ac:dyDescent="0.25">
      <c r="A22" s="41">
        <v>2880</v>
      </c>
      <c r="B22" s="42">
        <v>58.9</v>
      </c>
      <c r="C22" s="300"/>
      <c r="D22" s="36" t="s">
        <v>24</v>
      </c>
      <c r="E22" s="43">
        <f>$B22/1000*($E$3+$E$4)-1/2*$E$2*$E$5*$A22*60</f>
        <v>-13.539237600000002</v>
      </c>
    </row>
    <row r="23" spans="1:5" ht="17.25" x14ac:dyDescent="0.25">
      <c r="A23" s="41">
        <v>4320</v>
      </c>
      <c r="B23" s="42">
        <v>62.5</v>
      </c>
      <c r="C23" s="300"/>
      <c r="D23" s="36" t="s">
        <v>24</v>
      </c>
      <c r="E23" s="43">
        <f t="shared" si="0"/>
        <v>-24.899195999999996</v>
      </c>
    </row>
    <row r="24" spans="1:5" x14ac:dyDescent="0.25">
      <c r="A24" s="28"/>
      <c r="E24" s="32"/>
    </row>
    <row r="25" spans="1:5" ht="18" x14ac:dyDescent="0.25">
      <c r="A25" s="37"/>
      <c r="B25" s="38"/>
      <c r="C25" s="30" t="s">
        <v>25</v>
      </c>
      <c r="D25" s="36" t="s">
        <v>26</v>
      </c>
      <c r="E25" s="44">
        <f>1/2*$E$2*$E$5</f>
        <v>1.3888E-4</v>
      </c>
    </row>
    <row r="26" spans="1:5" x14ac:dyDescent="0.25">
      <c r="A26" s="37"/>
      <c r="B26" s="38"/>
      <c r="C26" s="30"/>
      <c r="E26" s="45"/>
    </row>
    <row r="27" spans="1:5" ht="18" x14ac:dyDescent="0.25">
      <c r="A27" s="37"/>
      <c r="B27" s="38"/>
      <c r="C27" s="30" t="s">
        <v>27</v>
      </c>
      <c r="D27" s="36" t="s">
        <v>28</v>
      </c>
      <c r="E27" s="46">
        <f>(E16/E$25)</f>
        <v>32741.733870967742</v>
      </c>
    </row>
    <row r="28" spans="1:5" x14ac:dyDescent="0.25">
      <c r="A28" s="37"/>
      <c r="B28" s="38"/>
      <c r="C28" s="38"/>
      <c r="D28" s="36" t="s">
        <v>29</v>
      </c>
      <c r="E28" s="47">
        <f>E27/3600</f>
        <v>9.0949260752688179</v>
      </c>
    </row>
    <row r="29" spans="1:5" ht="18.75" thickBot="1" x14ac:dyDescent="0.3">
      <c r="A29" s="48"/>
      <c r="B29" s="49"/>
      <c r="C29" s="50" t="s">
        <v>75</v>
      </c>
      <c r="D29" s="49"/>
      <c r="E29" s="51" t="str">
        <f>IF(E28&lt;24,"vyhovuje","nevyhovuje")</f>
        <v>vyhovuje</v>
      </c>
    </row>
    <row r="30" spans="1:5" ht="15.75" thickBot="1" x14ac:dyDescent="0.3"/>
    <row r="31" spans="1:5" ht="18" x14ac:dyDescent="0.25">
      <c r="A31" s="38"/>
      <c r="B31" s="52" t="s">
        <v>31</v>
      </c>
      <c r="C31" s="53" t="s">
        <v>32</v>
      </c>
      <c r="D31" s="54" t="s">
        <v>24</v>
      </c>
      <c r="E31" s="55">
        <f>E16/0.3</f>
        <v>15.15724</v>
      </c>
    </row>
    <row r="32" spans="1:5" ht="18.75" thickBot="1" x14ac:dyDescent="0.3">
      <c r="A32" s="1"/>
      <c r="B32" s="56" t="s">
        <v>33</v>
      </c>
      <c r="C32" s="57" t="s">
        <v>34</v>
      </c>
      <c r="D32" s="58" t="s">
        <v>35</v>
      </c>
      <c r="E32" s="59">
        <f>E16/0.95</f>
        <v>4.7864968421052634</v>
      </c>
    </row>
  </sheetData>
  <mergeCells count="2">
    <mergeCell ref="A1:E1"/>
    <mergeCell ref="C7:C23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67"/>
  <sheetViews>
    <sheetView topLeftCell="A31" zoomScaleNormal="100" workbookViewId="0">
      <selection activeCell="E6" sqref="E6"/>
    </sheetView>
  </sheetViews>
  <sheetFormatPr defaultRowHeight="15" x14ac:dyDescent="0.25"/>
  <cols>
    <col min="1" max="2" width="7.7109375" customWidth="1"/>
    <col min="3" max="3" width="20.7109375" customWidth="1"/>
    <col min="4" max="4" width="8.7109375" customWidth="1"/>
    <col min="5" max="5" width="12.7109375" customWidth="1"/>
  </cols>
  <sheetData>
    <row r="1" spans="1:5" ht="21.75" thickBot="1" x14ac:dyDescent="0.4">
      <c r="A1" s="304" t="s">
        <v>14</v>
      </c>
      <c r="B1" s="305"/>
      <c r="C1" s="305"/>
      <c r="D1" s="305"/>
      <c r="E1" s="306"/>
    </row>
    <row r="2" spans="1:5" ht="18" x14ac:dyDescent="0.35">
      <c r="A2" s="28"/>
      <c r="C2" s="29" t="s">
        <v>15</v>
      </c>
      <c r="D2" s="30" t="s">
        <v>90</v>
      </c>
      <c r="E2" s="31">
        <f>5.6*(10^-6)</f>
        <v>5.5999999999999997E-6</v>
      </c>
    </row>
    <row r="3" spans="1:5" ht="18" x14ac:dyDescent="0.25">
      <c r="A3" s="33"/>
      <c r="B3" s="34"/>
      <c r="C3" s="35" t="s">
        <v>16</v>
      </c>
      <c r="D3" s="36" t="s">
        <v>17</v>
      </c>
      <c r="E3" s="143">
        <f>'nátoky dle UV'!F10*10000</f>
        <v>239.94200000000001</v>
      </c>
    </row>
    <row r="4" spans="1:5" ht="18" x14ac:dyDescent="0.25">
      <c r="A4" s="37"/>
      <c r="B4" s="38"/>
      <c r="C4" s="35" t="s">
        <v>18</v>
      </c>
      <c r="D4" s="36" t="s">
        <v>17</v>
      </c>
      <c r="E4" s="143">
        <v>50.26</v>
      </c>
    </row>
    <row r="5" spans="1:5" ht="30" x14ac:dyDescent="0.25">
      <c r="A5" s="142" t="s">
        <v>69</v>
      </c>
      <c r="B5" s="34"/>
      <c r="C5" s="35" t="s">
        <v>77</v>
      </c>
      <c r="D5" s="30" t="s">
        <v>17</v>
      </c>
      <c r="E5" s="143">
        <f>28.12+0.67</f>
        <v>28.790000000000003</v>
      </c>
    </row>
    <row r="6" spans="1:5" ht="18" x14ac:dyDescent="0.25">
      <c r="A6" s="40" t="s">
        <v>20</v>
      </c>
      <c r="B6" s="35" t="s">
        <v>21</v>
      </c>
      <c r="C6" s="38"/>
      <c r="E6" s="31" t="s">
        <v>22</v>
      </c>
    </row>
    <row r="7" spans="1:5" ht="17.25" customHeight="1" x14ac:dyDescent="0.25">
      <c r="A7" s="221">
        <v>5</v>
      </c>
      <c r="B7" s="222">
        <v>11.3</v>
      </c>
      <c r="C7" s="307" t="s">
        <v>79</v>
      </c>
      <c r="D7" s="223" t="s">
        <v>80</v>
      </c>
      <c r="E7" s="224">
        <f>$B7/1000*($E$3+$E$4)-1/2*$E$2*$E$5*$A7*60</f>
        <v>3.255099</v>
      </c>
    </row>
    <row r="8" spans="1:5" ht="17.25" customHeight="1" x14ac:dyDescent="0.25">
      <c r="A8" s="221">
        <v>10</v>
      </c>
      <c r="B8" s="222">
        <v>16.5</v>
      </c>
      <c r="C8" s="307"/>
      <c r="D8" s="223" t="s">
        <v>80</v>
      </c>
      <c r="E8" s="224">
        <f t="shared" ref="E8:E23" si="0">$B8/1000*($E$3+$E$4)-1/2*$E$2*$E$5*$A8*60</f>
        <v>4.7399658000000002</v>
      </c>
    </row>
    <row r="9" spans="1:5" ht="17.25" x14ac:dyDescent="0.25">
      <c r="A9" s="221">
        <v>15</v>
      </c>
      <c r="B9" s="222">
        <v>19.5</v>
      </c>
      <c r="C9" s="307"/>
      <c r="D9" s="223" t="s">
        <v>80</v>
      </c>
      <c r="E9" s="224">
        <f t="shared" si="0"/>
        <v>5.5863882</v>
      </c>
    </row>
    <row r="10" spans="1:5" ht="17.25" x14ac:dyDescent="0.25">
      <c r="A10" s="221">
        <v>20</v>
      </c>
      <c r="B10" s="222">
        <v>21.1</v>
      </c>
      <c r="C10" s="307"/>
      <c r="D10" s="223" t="s">
        <v>80</v>
      </c>
      <c r="E10" s="224">
        <f t="shared" si="0"/>
        <v>6.0265278000000002</v>
      </c>
    </row>
    <row r="11" spans="1:5" ht="17.25" x14ac:dyDescent="0.25">
      <c r="A11" s="221">
        <v>30</v>
      </c>
      <c r="B11" s="222">
        <v>23.2</v>
      </c>
      <c r="C11" s="307"/>
      <c r="D11" s="223" t="s">
        <v>80</v>
      </c>
      <c r="E11" s="224">
        <f t="shared" si="0"/>
        <v>6.5875847999999992</v>
      </c>
    </row>
    <row r="12" spans="1:5" ht="17.25" x14ac:dyDescent="0.25">
      <c r="A12" s="221">
        <v>40</v>
      </c>
      <c r="B12" s="222">
        <v>24.7</v>
      </c>
      <c r="C12" s="307"/>
      <c r="D12" s="223" t="s">
        <v>80</v>
      </c>
      <c r="E12" s="224">
        <f t="shared" si="0"/>
        <v>6.9745206</v>
      </c>
    </row>
    <row r="13" spans="1:5" ht="17.25" x14ac:dyDescent="0.25">
      <c r="A13" s="221">
        <v>60</v>
      </c>
      <c r="B13" s="222">
        <v>26.9</v>
      </c>
      <c r="C13" s="307"/>
      <c r="D13" s="223" t="s">
        <v>80</v>
      </c>
      <c r="E13" s="224">
        <f t="shared" si="0"/>
        <v>7.5162306000000001</v>
      </c>
    </row>
    <row r="14" spans="1:5" ht="17.25" x14ac:dyDescent="0.25">
      <c r="A14" s="221">
        <v>120</v>
      </c>
      <c r="B14" s="222">
        <v>30.6</v>
      </c>
      <c r="C14" s="307"/>
      <c r="D14" s="223" t="s">
        <v>80</v>
      </c>
      <c r="E14" s="224">
        <f t="shared" si="0"/>
        <v>8.2997748000000016</v>
      </c>
    </row>
    <row r="15" spans="1:5" ht="17.25" x14ac:dyDescent="0.25">
      <c r="A15" s="221">
        <v>240</v>
      </c>
      <c r="B15" s="222">
        <v>36.6</v>
      </c>
      <c r="C15" s="307"/>
      <c r="D15" s="223" t="s">
        <v>80</v>
      </c>
      <c r="E15" s="224">
        <f t="shared" si="0"/>
        <v>9.4605803999999996</v>
      </c>
    </row>
    <row r="16" spans="1:5" ht="21" x14ac:dyDescent="0.3">
      <c r="A16" s="225">
        <v>360</v>
      </c>
      <c r="B16" s="226">
        <v>42.5</v>
      </c>
      <c r="C16" s="307"/>
      <c r="D16" s="227" t="s">
        <v>81</v>
      </c>
      <c r="E16" s="228">
        <f t="shared" si="0"/>
        <v>10.592365800000001</v>
      </c>
    </row>
    <row r="17" spans="1:5" ht="17.25" x14ac:dyDescent="0.25">
      <c r="A17" s="221">
        <v>480</v>
      </c>
      <c r="B17" s="222">
        <v>43.2</v>
      </c>
      <c r="C17" s="307"/>
      <c r="D17" s="223" t="s">
        <v>80</v>
      </c>
      <c r="E17" s="224">
        <f t="shared" si="0"/>
        <v>10.215100800000002</v>
      </c>
    </row>
    <row r="18" spans="1:5" ht="17.25" x14ac:dyDescent="0.25">
      <c r="A18" s="221">
        <v>600</v>
      </c>
      <c r="B18" s="222">
        <v>43.8</v>
      </c>
      <c r="C18" s="307"/>
      <c r="D18" s="223" t="s">
        <v>80</v>
      </c>
      <c r="E18" s="224">
        <f t="shared" si="0"/>
        <v>9.8088155999999991</v>
      </c>
    </row>
    <row r="19" spans="1:5" ht="17.25" x14ac:dyDescent="0.25">
      <c r="A19" s="221">
        <v>720</v>
      </c>
      <c r="B19" s="222">
        <v>44.5</v>
      </c>
      <c r="C19" s="307"/>
      <c r="D19" s="223" t="s">
        <v>80</v>
      </c>
      <c r="E19" s="224">
        <f t="shared" si="0"/>
        <v>9.4315505999999978</v>
      </c>
    </row>
    <row r="20" spans="1:5" ht="17.25" x14ac:dyDescent="0.25">
      <c r="A20" s="221">
        <v>1080</v>
      </c>
      <c r="B20" s="222">
        <v>46.4</v>
      </c>
      <c r="C20" s="307"/>
      <c r="D20" s="223" t="s">
        <v>80</v>
      </c>
      <c r="E20" s="224">
        <f t="shared" si="0"/>
        <v>8.241715199999998</v>
      </c>
    </row>
    <row r="21" spans="1:5" ht="17.25" x14ac:dyDescent="0.25">
      <c r="A21" s="221">
        <v>1440</v>
      </c>
      <c r="B21" s="222">
        <v>46.9</v>
      </c>
      <c r="C21" s="307"/>
      <c r="D21" s="223" t="s">
        <v>80</v>
      </c>
      <c r="E21" s="224">
        <f t="shared" si="0"/>
        <v>6.6455969999999986</v>
      </c>
    </row>
    <row r="22" spans="1:5" ht="17.25" x14ac:dyDescent="0.25">
      <c r="A22" s="221">
        <v>2880</v>
      </c>
      <c r="B22" s="222">
        <v>58.9</v>
      </c>
      <c r="C22" s="307"/>
      <c r="D22" s="223" t="s">
        <v>80</v>
      </c>
      <c r="E22" s="224">
        <f>$B22/1000*($E$3+$E$4)-1/2*$E$2*$E$5*$A22*60</f>
        <v>3.1631441999999979</v>
      </c>
    </row>
    <row r="23" spans="1:5" ht="17.25" x14ac:dyDescent="0.25">
      <c r="A23" s="221">
        <v>4320</v>
      </c>
      <c r="B23" s="222">
        <v>62.5</v>
      </c>
      <c r="C23" s="307"/>
      <c r="D23" s="223" t="s">
        <v>80</v>
      </c>
      <c r="E23" s="224">
        <f t="shared" si="0"/>
        <v>-2.7570054000000006</v>
      </c>
    </row>
    <row r="24" spans="1:5" x14ac:dyDescent="0.25">
      <c r="A24" s="229"/>
      <c r="B24" s="230"/>
      <c r="C24" s="230"/>
      <c r="D24" s="230"/>
      <c r="E24" s="231"/>
    </row>
    <row r="25" spans="1:5" ht="18" x14ac:dyDescent="0.25">
      <c r="A25" s="232"/>
      <c r="B25" s="233"/>
      <c r="C25" s="234" t="s">
        <v>82</v>
      </c>
      <c r="D25" s="223" t="s">
        <v>83</v>
      </c>
      <c r="E25" s="235">
        <f>1/2*$E$2*$E$5</f>
        <v>8.0612000000000007E-5</v>
      </c>
    </row>
    <row r="26" spans="1:5" x14ac:dyDescent="0.25">
      <c r="A26" s="232"/>
      <c r="B26" s="233"/>
      <c r="C26" s="234"/>
      <c r="D26" s="230"/>
      <c r="E26" s="236"/>
    </row>
    <row r="27" spans="1:5" ht="18" x14ac:dyDescent="0.25">
      <c r="A27" s="232"/>
      <c r="B27" s="233"/>
      <c r="C27" s="234" t="s">
        <v>84</v>
      </c>
      <c r="D27" s="223" t="s">
        <v>28</v>
      </c>
      <c r="E27" s="237">
        <f>(E16/E$25)</f>
        <v>131399.36733985014</v>
      </c>
    </row>
    <row r="28" spans="1:5" x14ac:dyDescent="0.25">
      <c r="A28" s="232"/>
      <c r="B28" s="233"/>
      <c r="C28" s="233"/>
      <c r="D28" s="223" t="s">
        <v>29</v>
      </c>
      <c r="E28" s="238">
        <f>E27/3600</f>
        <v>36.499824261069485</v>
      </c>
    </row>
    <row r="29" spans="1:5" ht="18.75" thickBot="1" x14ac:dyDescent="0.3">
      <c r="A29" s="239"/>
      <c r="B29" s="240"/>
      <c r="C29" s="241" t="s">
        <v>85</v>
      </c>
      <c r="D29" s="240"/>
      <c r="E29" s="242" t="str">
        <f>IF(E28&lt;72,"vyhovuje","nevyhovuje")</f>
        <v>vyhovuje</v>
      </c>
    </row>
    <row r="30" spans="1:5" ht="15.75" thickBot="1" x14ac:dyDescent="0.3">
      <c r="A30" s="230"/>
      <c r="B30" s="230"/>
      <c r="C30" s="230"/>
      <c r="D30" s="230"/>
      <c r="E30" s="230"/>
    </row>
    <row r="31" spans="1:5" ht="18" x14ac:dyDescent="0.25">
      <c r="A31" s="233"/>
      <c r="B31" s="243" t="s">
        <v>31</v>
      </c>
      <c r="C31" s="244" t="s">
        <v>86</v>
      </c>
      <c r="D31" s="245" t="s">
        <v>80</v>
      </c>
      <c r="E31" s="246">
        <f>E16/0.3</f>
        <v>35.307886000000003</v>
      </c>
    </row>
    <row r="32" spans="1:5" ht="18.75" thickBot="1" x14ac:dyDescent="0.3">
      <c r="A32" s="247"/>
      <c r="B32" s="248" t="s">
        <v>33</v>
      </c>
      <c r="C32" s="249" t="s">
        <v>87</v>
      </c>
      <c r="D32" s="250" t="s">
        <v>88</v>
      </c>
      <c r="E32" s="251">
        <f>E16/0.95</f>
        <v>11.149858736842107</v>
      </c>
    </row>
    <row r="34" spans="1:5" ht="15.75" thickBot="1" x14ac:dyDescent="0.3"/>
    <row r="35" spans="1:5" ht="60" customHeight="1" thickBot="1" x14ac:dyDescent="0.3">
      <c r="A35" s="310" t="s">
        <v>97</v>
      </c>
      <c r="B35" s="311"/>
      <c r="C35" s="311"/>
      <c r="D35" s="311"/>
      <c r="E35" s="312"/>
    </row>
    <row r="36" spans="1:5" ht="18" x14ac:dyDescent="0.35">
      <c r="A36" s="28"/>
      <c r="C36" s="29" t="s">
        <v>15</v>
      </c>
      <c r="D36" s="30" t="str">
        <f>'vsak RR3'!D2</f>
        <v>5,6*10-6</v>
      </c>
      <c r="E36" s="31">
        <f>E2</f>
        <v>5.5999999999999997E-6</v>
      </c>
    </row>
    <row r="37" spans="1:5" ht="18" x14ac:dyDescent="0.25">
      <c r="A37" s="33"/>
      <c r="B37" s="34"/>
      <c r="C37" s="35" t="s">
        <v>16</v>
      </c>
      <c r="D37" s="36" t="s">
        <v>17</v>
      </c>
      <c r="E37" s="143">
        <f>E3</f>
        <v>239.94200000000001</v>
      </c>
    </row>
    <row r="38" spans="1:5" x14ac:dyDescent="0.25">
      <c r="A38" s="33"/>
      <c r="B38" s="34"/>
      <c r="C38" s="35" t="s">
        <v>70</v>
      </c>
      <c r="D38" s="36" t="s">
        <v>71</v>
      </c>
      <c r="E38" s="143">
        <v>0.5</v>
      </c>
    </row>
    <row r="39" spans="1:5" ht="18" x14ac:dyDescent="0.25">
      <c r="A39" s="37"/>
      <c r="B39" s="38"/>
      <c r="C39" s="35" t="s">
        <v>18</v>
      </c>
      <c r="D39" s="36" t="s">
        <v>17</v>
      </c>
      <c r="E39" s="143">
        <f>E4</f>
        <v>50.26</v>
      </c>
    </row>
    <row r="40" spans="1:5" ht="30" x14ac:dyDescent="0.25">
      <c r="A40" s="142" t="s">
        <v>69</v>
      </c>
      <c r="B40" s="34"/>
      <c r="C40" s="35" t="s">
        <v>77</v>
      </c>
      <c r="D40" s="30" t="s">
        <v>17</v>
      </c>
      <c r="E40" s="143">
        <f>E5</f>
        <v>28.790000000000003</v>
      </c>
    </row>
    <row r="41" spans="1:5" ht="18" x14ac:dyDescent="0.25">
      <c r="A41" s="40" t="s">
        <v>20</v>
      </c>
      <c r="B41" s="35" t="s">
        <v>21</v>
      </c>
      <c r="C41" s="38"/>
      <c r="E41" s="31" t="s">
        <v>22</v>
      </c>
    </row>
    <row r="42" spans="1:5" ht="17.25" x14ac:dyDescent="0.25">
      <c r="A42" s="41">
        <v>5</v>
      </c>
      <c r="B42" s="42">
        <v>11.3</v>
      </c>
      <c r="C42" s="308" t="s">
        <v>72</v>
      </c>
      <c r="D42" s="36" t="s">
        <v>24</v>
      </c>
      <c r="E42" s="43">
        <f>$B42/1000*($E$37+$E$39)-(1/2*$E$36*$E$40*$A42*60 )- ($E$38*($A42*60)/1000)</f>
        <v>3.1050990000000001</v>
      </c>
    </row>
    <row r="43" spans="1:5" ht="17.25" x14ac:dyDescent="0.25">
      <c r="A43" s="41">
        <v>10</v>
      </c>
      <c r="B43" s="42">
        <v>16.5</v>
      </c>
      <c r="C43" s="309"/>
      <c r="D43" s="36" t="s">
        <v>24</v>
      </c>
      <c r="E43" s="43">
        <f>$B43/1000*($E$37+$E$39)-(1/2*'vsak RR3'!$E$2*$E$40*$A43*60 )- ($E$38*($A43*60)/1000)</f>
        <v>4.4399658000000004</v>
      </c>
    </row>
    <row r="44" spans="1:5" ht="17.25" x14ac:dyDescent="0.25">
      <c r="A44" s="41">
        <v>15</v>
      </c>
      <c r="B44" s="42">
        <v>19.5</v>
      </c>
      <c r="C44" s="309"/>
      <c r="D44" s="36" t="s">
        <v>24</v>
      </c>
      <c r="E44" s="43">
        <f>$B44/1000*($E$37+$E$39)-(1/2*'vsak RR3'!$E$2*$E$40*$A44*60 )- ($E$38*($A44*60)/1000)</f>
        <v>5.1363881999999998</v>
      </c>
    </row>
    <row r="45" spans="1:5" ht="17.25" x14ac:dyDescent="0.25">
      <c r="A45" s="41">
        <v>20</v>
      </c>
      <c r="B45" s="42">
        <v>21.1</v>
      </c>
      <c r="C45" s="309"/>
      <c r="D45" s="36" t="s">
        <v>24</v>
      </c>
      <c r="E45" s="43">
        <f>$B45/1000*($E$37+$E$39)-(1/2*'vsak RR3'!$E$2*$E$40*$A45*60 )- ($E$38*($A45*60)/1000)</f>
        <v>5.4265278000000006</v>
      </c>
    </row>
    <row r="46" spans="1:5" ht="17.25" x14ac:dyDescent="0.25">
      <c r="A46" s="41">
        <v>30</v>
      </c>
      <c r="B46" s="42">
        <v>23.2</v>
      </c>
      <c r="C46" s="309"/>
      <c r="D46" s="36" t="s">
        <v>24</v>
      </c>
      <c r="E46" s="43">
        <f>$B46/1000*($E$37+$E$39)-(1/2*'vsak RR3'!$E$2*$E$40*$A46*60 )- ($E$38*($A46*60)/1000)</f>
        <v>5.6875847999999989</v>
      </c>
    </row>
    <row r="47" spans="1:5" ht="21" x14ac:dyDescent="0.3">
      <c r="A47" s="144">
        <v>40</v>
      </c>
      <c r="B47" s="145">
        <v>24.7</v>
      </c>
      <c r="C47" s="309"/>
      <c r="D47" s="146" t="s">
        <v>73</v>
      </c>
      <c r="E47" s="147">
        <f>$B47/1000*($E$37+$E$39)-(1/2*'vsak RR3'!$E$2*$E$40*$A47*60 )- ($E$38*($A47*60)/1000)</f>
        <v>5.7745205999999998</v>
      </c>
    </row>
    <row r="48" spans="1:5" ht="17.25" x14ac:dyDescent="0.25">
      <c r="A48" s="41">
        <v>60</v>
      </c>
      <c r="B48" s="42">
        <v>26.9</v>
      </c>
      <c r="C48" s="309"/>
      <c r="D48" s="36" t="s">
        <v>24</v>
      </c>
      <c r="E48" s="43">
        <f>$B48/1000*($E$37+$E$39)-(1/2*'vsak RR3'!$E$2*$E$40*$A48*60 )- ($E$38*($A48*60)/1000)</f>
        <v>5.7162306000000003</v>
      </c>
    </row>
    <row r="49" spans="1:5" ht="17.25" x14ac:dyDescent="0.25">
      <c r="A49" s="41">
        <v>120</v>
      </c>
      <c r="B49" s="42">
        <v>30.6</v>
      </c>
      <c r="C49" s="309"/>
      <c r="D49" s="36" t="s">
        <v>78</v>
      </c>
      <c r="E49" s="43">
        <f>$B49/1000*($E$37+$E$39)-(1/2*'vsak RR3'!$E$2*$E$40*$A49*60 )- ($E$38*($A49*60)/1000)</f>
        <v>4.6997748000000019</v>
      </c>
    </row>
    <row r="50" spans="1:5" ht="17.25" x14ac:dyDescent="0.25">
      <c r="A50" s="41">
        <v>240</v>
      </c>
      <c r="B50" s="42">
        <v>36.6</v>
      </c>
      <c r="C50" s="309"/>
      <c r="D50" s="36" t="s">
        <v>24</v>
      </c>
      <c r="E50" s="43">
        <f>$B50/1000*($E$37+$E$39)-(1/2*'vsak RR3'!$E$2*$E$40*$A50*60 )- ($E$38*($A50*60)/1000)</f>
        <v>2.2605803999999994</v>
      </c>
    </row>
    <row r="51" spans="1:5" ht="17.25" x14ac:dyDescent="0.25">
      <c r="A51" s="41">
        <v>360</v>
      </c>
      <c r="B51" s="42">
        <v>42.5</v>
      </c>
      <c r="C51" s="309"/>
      <c r="D51" s="36" t="s">
        <v>24</v>
      </c>
      <c r="E51" s="43">
        <f>$B51/1000*($E$37+$E$39)-(1/2*'vsak RR3'!$E$2*$E$40*$A51*60 )- ($E$38*($A51*60)/1000)</f>
        <v>-0.20763419999999932</v>
      </c>
    </row>
    <row r="52" spans="1:5" ht="17.25" x14ac:dyDescent="0.25">
      <c r="A52" s="41">
        <v>480</v>
      </c>
      <c r="B52" s="42">
        <v>43.2</v>
      </c>
      <c r="C52" s="309"/>
      <c r="D52" s="36" t="s">
        <v>24</v>
      </c>
      <c r="E52" s="43">
        <f>$B52/1000*($E$37+$E$39)-(1/2*'vsak RR3'!$E$2*$E$40*$A52*60 )- ($E$38*($A52*60)/1000)</f>
        <v>-4.1848991999999985</v>
      </c>
    </row>
    <row r="53" spans="1:5" ht="17.25" x14ac:dyDescent="0.25">
      <c r="A53" s="41">
        <v>600</v>
      </c>
      <c r="B53" s="42">
        <v>43.8</v>
      </c>
      <c r="C53" s="309"/>
      <c r="D53" s="36" t="s">
        <v>24</v>
      </c>
      <c r="E53" s="43">
        <f>$B53/1000*($E$37+$E$39)-(1/2*'vsak RR3'!$E$2*$E$40*$A53*60 )- ($E$38*($A53*60)/1000)</f>
        <v>-8.1911844000000009</v>
      </c>
    </row>
    <row r="54" spans="1:5" ht="17.25" x14ac:dyDescent="0.25">
      <c r="A54" s="41">
        <v>720</v>
      </c>
      <c r="B54" s="42">
        <v>44.5</v>
      </c>
      <c r="C54" s="309"/>
      <c r="D54" s="36" t="s">
        <v>24</v>
      </c>
      <c r="E54" s="43">
        <f>$B54/1000*($E$37+$E$39)-(1/2*'vsak RR3'!$E$2*$E$40*$A54*60 )- ($E$38*($A54*60)/1000)</f>
        <v>-12.168449400000004</v>
      </c>
    </row>
    <row r="55" spans="1:5" ht="17.25" x14ac:dyDescent="0.25">
      <c r="A55" s="41">
        <v>1080</v>
      </c>
      <c r="B55" s="42">
        <v>46.4</v>
      </c>
      <c r="C55" s="309"/>
      <c r="D55" s="36" t="s">
        <v>24</v>
      </c>
      <c r="E55" s="43">
        <f>$B55/1000*($E$37+$E$39)-(1/2*'vsak RR3'!$E$2*$E$40*$A55*60 )- ($E$38*($A55*60)/1000)</f>
        <v>-24.158284800000001</v>
      </c>
    </row>
    <row r="56" spans="1:5" ht="17.25" x14ac:dyDescent="0.25">
      <c r="A56" s="41">
        <v>1440</v>
      </c>
      <c r="B56" s="42">
        <v>46.9</v>
      </c>
      <c r="C56" s="309"/>
      <c r="D56" s="36" t="s">
        <v>24</v>
      </c>
      <c r="E56" s="43">
        <f>$B56/1000*($E$37+$E$39)-(1/2*'vsak RR3'!$E$2*$E$40*$A56*60 )- ($E$38*($A56*60)/1000)</f>
        <v>-36.554403000000008</v>
      </c>
    </row>
    <row r="57" spans="1:5" ht="17.25" x14ac:dyDescent="0.25">
      <c r="A57" s="41">
        <v>2880</v>
      </c>
      <c r="B57" s="42">
        <v>58.9</v>
      </c>
      <c r="C57" s="309"/>
      <c r="D57" s="36" t="s">
        <v>24</v>
      </c>
      <c r="E57" s="43">
        <f>$B57/1000*($E$37+$E$39)-(1/2*'vsak RR3'!$E$2*$E$40*$A57*60 )- ($E$38*($A57*60)/1000)</f>
        <v>-83.236855800000001</v>
      </c>
    </row>
    <row r="58" spans="1:5" ht="17.25" x14ac:dyDescent="0.25">
      <c r="A58" s="41">
        <v>4320</v>
      </c>
      <c r="B58" s="42">
        <v>62.5</v>
      </c>
      <c r="C58" s="309"/>
      <c r="D58" s="36" t="s">
        <v>24</v>
      </c>
      <c r="E58" s="43">
        <f>$B58/1000*($E$37+$E$39)-(1/2*'vsak RR3'!$E$2*$E$40*$A58*60 )- ($E$38*($A58*60)/1000)</f>
        <v>-132.35700539999999</v>
      </c>
    </row>
    <row r="59" spans="1:5" x14ac:dyDescent="0.25">
      <c r="A59" s="28"/>
      <c r="E59" s="32"/>
    </row>
    <row r="60" spans="1:5" ht="18" x14ac:dyDescent="0.25">
      <c r="A60" s="37"/>
      <c r="B60" s="38"/>
      <c r="C60" s="30" t="s">
        <v>25</v>
      </c>
      <c r="D60" s="36" t="s">
        <v>26</v>
      </c>
      <c r="E60" s="44">
        <f>1/2*$E$36*$E$40</f>
        <v>8.0612000000000007E-5</v>
      </c>
    </row>
    <row r="61" spans="1:5" ht="18" x14ac:dyDescent="0.25">
      <c r="A61" s="37"/>
      <c r="B61" s="38"/>
      <c r="C61" s="39" t="s">
        <v>74</v>
      </c>
      <c r="D61" s="36" t="s">
        <v>26</v>
      </c>
      <c r="E61" s="148">
        <f>$E$38/1000</f>
        <v>5.0000000000000001E-4</v>
      </c>
    </row>
    <row r="62" spans="1:5" ht="18" x14ac:dyDescent="0.25">
      <c r="A62" s="37"/>
      <c r="B62" s="38"/>
      <c r="C62" s="30" t="s">
        <v>76</v>
      </c>
      <c r="D62" s="36" t="s">
        <v>28</v>
      </c>
      <c r="E62" s="46">
        <f>E47/(E$60+$E$61)</f>
        <v>9945.5757028790304</v>
      </c>
    </row>
    <row r="63" spans="1:5" x14ac:dyDescent="0.25">
      <c r="A63" s="37"/>
      <c r="B63" s="38"/>
      <c r="C63" s="38"/>
      <c r="D63" s="36" t="s">
        <v>29</v>
      </c>
      <c r="E63" s="47">
        <f>E62/3600</f>
        <v>2.7626599174663973</v>
      </c>
    </row>
    <row r="64" spans="1:5" ht="18.75" thickBot="1" x14ac:dyDescent="0.3">
      <c r="A64" s="48"/>
      <c r="B64" s="49"/>
      <c r="C64" s="50" t="s">
        <v>75</v>
      </c>
      <c r="D64" s="49"/>
      <c r="E64" s="51" t="str">
        <f>IF(E63&lt;24,"vyhovuje","nevyhovuje")</f>
        <v>vyhovuje</v>
      </c>
    </row>
    <row r="65" spans="1:5" ht="15.75" thickBot="1" x14ac:dyDescent="0.3"/>
    <row r="66" spans="1:5" ht="18" x14ac:dyDescent="0.25">
      <c r="A66" s="38"/>
      <c r="B66" s="52" t="s">
        <v>31</v>
      </c>
      <c r="C66" s="53" t="s">
        <v>32</v>
      </c>
      <c r="D66" s="54" t="s">
        <v>24</v>
      </c>
      <c r="E66" s="55">
        <f>E47/0.3</f>
        <v>19.248401999999999</v>
      </c>
    </row>
    <row r="67" spans="1:5" ht="18.75" thickBot="1" x14ac:dyDescent="0.3">
      <c r="A67" s="1"/>
      <c r="B67" s="56" t="s">
        <v>33</v>
      </c>
      <c r="C67" s="57" t="s">
        <v>34</v>
      </c>
      <c r="D67" s="58" t="s">
        <v>35</v>
      </c>
      <c r="E67" s="59">
        <f>E47/0.95</f>
        <v>6.0784427368421055</v>
      </c>
    </row>
  </sheetData>
  <mergeCells count="4">
    <mergeCell ref="A1:E1"/>
    <mergeCell ref="C7:C23"/>
    <mergeCell ref="C42:C58"/>
    <mergeCell ref="A35:E35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jednotlivé UV</vt:lpstr>
      <vt:lpstr>nátoky dle UV</vt:lpstr>
      <vt:lpstr>vsak RR3</vt:lpstr>
      <vt:lpstr>vsak RR1</vt:lpstr>
      <vt:lpstr>vsak RR2</vt:lpstr>
      <vt:lpstr>'jednotlivé UV'!Oblast_tisku</vt:lpstr>
      <vt:lpstr>'nátoky dle UV'!Oblast_tisku</vt:lpstr>
      <vt:lpstr>'vsak RR1'!Oblast_tisku</vt:lpstr>
      <vt:lpstr>'vsak RR2'!Oblast_tisku</vt:lpstr>
      <vt:lpstr>'vsak RR3'!Oblast_tisku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Zbynek</dc:creator>
  <cp:lastModifiedBy>Dita Zemanová</cp:lastModifiedBy>
  <cp:lastPrinted>2025-01-19T09:02:43Z</cp:lastPrinted>
  <dcterms:created xsi:type="dcterms:W3CDTF">2015-03-26T14:48:15Z</dcterms:created>
  <dcterms:modified xsi:type="dcterms:W3CDTF">2025-03-30T09:43:04Z</dcterms:modified>
</cp:coreProperties>
</file>